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eaufortcountysc-my.sharepoint.com/personal/brycen_campbell_bcgov_net/Documents/BNC/Denise/"/>
    </mc:Choice>
  </mc:AlternateContent>
  <xr:revisionPtr revIDLastSave="0" documentId="8_{7BBBC778-CBBC-46BC-8E62-E3454A7744C3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Executive summary" sheetId="6" r:id="rId1"/>
    <sheet name="Revenues 24" sheetId="4" r:id="rId2"/>
    <sheet name="Expenses" sheetId="2" r:id="rId3"/>
    <sheet name="Expenses (3)" sheetId="12" r:id="rId4"/>
    <sheet name="Expenses (2)" sheetId="11" r:id="rId5"/>
    <sheet name="Revenues detail  24" sheetId="5" r:id="rId6"/>
    <sheet name="Expenses detail" sheetId="1" r:id="rId7"/>
    <sheet name="Sheet1" sheetId="10" r:id="rId8"/>
  </sheets>
  <externalReferences>
    <externalReference r:id="rId9"/>
  </externalReferences>
  <definedNames>
    <definedName name="_xlnm.Print_Area" localSheetId="0">'Executive summary'!$A$1:$E$123</definedName>
    <definedName name="_xlnm.Print_Area" localSheetId="2">Expenses!$A$1:$K$93</definedName>
    <definedName name="_xlnm.Print_Area" localSheetId="4">'Expenses (2)'!$A$1:$N$20</definedName>
    <definedName name="_xlnm.Print_Area" localSheetId="3">'Expenses (3)'!$A$1:$L$68</definedName>
    <definedName name="_xlnm.Print_Area" localSheetId="1">'Revenues 24'!$A$1:$K$102</definedName>
    <definedName name="_xlnm.Print_Titles" localSheetId="2">Expenses!$1:$8</definedName>
    <definedName name="_xlnm.Print_Titles" localSheetId="4">'Expenses (2)'!$1:$8</definedName>
    <definedName name="_xlnm.Print_Titles" localSheetId="3">'Expenses (3)'!$1:$8</definedName>
    <definedName name="_xlnm.Print_Titles" localSheetId="1">'Revenues 24'!$1:$8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3" i="4" l="1"/>
  <c r="I20" i="4"/>
  <c r="P146" i="5"/>
  <c r="O146" i="5"/>
  <c r="P145" i="5"/>
  <c r="O145" i="5"/>
  <c r="P144" i="5"/>
  <c r="O144" i="5"/>
  <c r="P143" i="5"/>
  <c r="O143" i="5"/>
  <c r="P142" i="5"/>
  <c r="O142" i="5"/>
  <c r="P141" i="5"/>
  <c r="O141" i="5"/>
  <c r="P140" i="5"/>
  <c r="O140" i="5"/>
  <c r="P139" i="5"/>
  <c r="O139" i="5"/>
  <c r="P138" i="5"/>
  <c r="O138" i="5"/>
  <c r="P137" i="5"/>
  <c r="O137" i="5"/>
  <c r="P136" i="5"/>
  <c r="O136" i="5"/>
  <c r="P135" i="5"/>
  <c r="O135" i="5"/>
  <c r="P134" i="5"/>
  <c r="O134" i="5"/>
  <c r="P133" i="5"/>
  <c r="O133" i="5"/>
  <c r="P132" i="5"/>
  <c r="O132" i="5"/>
  <c r="P131" i="5"/>
  <c r="O131" i="5"/>
  <c r="P130" i="5"/>
  <c r="O130" i="5"/>
  <c r="P129" i="5"/>
  <c r="O129" i="5"/>
  <c r="P128" i="5"/>
  <c r="O128" i="5"/>
  <c r="P127" i="5"/>
  <c r="O127" i="5"/>
  <c r="P126" i="5"/>
  <c r="O126" i="5"/>
  <c r="P125" i="5"/>
  <c r="O125" i="5"/>
  <c r="P124" i="5"/>
  <c r="O124" i="5"/>
  <c r="P123" i="5"/>
  <c r="O123" i="5"/>
  <c r="P122" i="5"/>
  <c r="O122" i="5"/>
  <c r="P121" i="5"/>
  <c r="O121" i="5"/>
  <c r="P120" i="5"/>
  <c r="O120" i="5"/>
  <c r="P119" i="5"/>
  <c r="O119" i="5"/>
  <c r="P118" i="5"/>
  <c r="O118" i="5"/>
  <c r="P117" i="5"/>
  <c r="O117" i="5"/>
  <c r="P116" i="5"/>
  <c r="O116" i="5"/>
  <c r="P115" i="5"/>
  <c r="O115" i="5"/>
  <c r="P114" i="5"/>
  <c r="O114" i="5"/>
  <c r="P113" i="5"/>
  <c r="O113" i="5"/>
  <c r="P112" i="5"/>
  <c r="O112" i="5"/>
  <c r="P111" i="5"/>
  <c r="O111" i="5"/>
  <c r="P110" i="5"/>
  <c r="O110" i="5"/>
  <c r="P109" i="5"/>
  <c r="O109" i="5"/>
  <c r="P108" i="5"/>
  <c r="O108" i="5"/>
  <c r="P107" i="5"/>
  <c r="O107" i="5"/>
  <c r="P106" i="5"/>
  <c r="O106" i="5"/>
  <c r="P105" i="5"/>
  <c r="O105" i="5"/>
  <c r="P104" i="5"/>
  <c r="O104" i="5"/>
  <c r="P103" i="5"/>
  <c r="O103" i="5"/>
  <c r="P102" i="5"/>
  <c r="O102" i="5"/>
  <c r="P101" i="5"/>
  <c r="O101" i="5"/>
  <c r="P100" i="5"/>
  <c r="O100" i="5"/>
  <c r="P99" i="5"/>
  <c r="O99" i="5"/>
  <c r="P98" i="5"/>
  <c r="O98" i="5"/>
  <c r="P97" i="5"/>
  <c r="O97" i="5"/>
  <c r="P96" i="5"/>
  <c r="O96" i="5"/>
  <c r="P95" i="5"/>
  <c r="O95" i="5"/>
  <c r="P94" i="5"/>
  <c r="O94" i="5"/>
  <c r="P93" i="5"/>
  <c r="O93" i="5"/>
  <c r="P92" i="5"/>
  <c r="O92" i="5"/>
  <c r="P91" i="5"/>
  <c r="O91" i="5"/>
  <c r="P90" i="5"/>
  <c r="O90" i="5"/>
  <c r="P89" i="5"/>
  <c r="O89" i="5"/>
  <c r="P88" i="5"/>
  <c r="O88" i="5"/>
  <c r="P87" i="5"/>
  <c r="O87" i="5"/>
  <c r="P86" i="5"/>
  <c r="O86" i="5"/>
  <c r="P85" i="5"/>
  <c r="O85" i="5"/>
  <c r="P84" i="5"/>
  <c r="O84" i="5"/>
  <c r="P83" i="5"/>
  <c r="O83" i="5"/>
  <c r="P82" i="5"/>
  <c r="O82" i="5"/>
  <c r="P81" i="5"/>
  <c r="O81" i="5"/>
  <c r="P80" i="5"/>
  <c r="O80" i="5"/>
  <c r="P79" i="5"/>
  <c r="O79" i="5"/>
  <c r="P78" i="5"/>
  <c r="O78" i="5"/>
  <c r="P77" i="5"/>
  <c r="O77" i="5"/>
  <c r="P76" i="5"/>
  <c r="O76" i="5"/>
  <c r="P75" i="5"/>
  <c r="O75" i="5"/>
  <c r="P74" i="5"/>
  <c r="O74" i="5"/>
  <c r="P73" i="5"/>
  <c r="O73" i="5"/>
  <c r="P72" i="5"/>
  <c r="O72" i="5"/>
  <c r="P71" i="5"/>
  <c r="O71" i="5"/>
  <c r="P70" i="5"/>
  <c r="O70" i="5"/>
  <c r="P69" i="5"/>
  <c r="O69" i="5"/>
  <c r="P68" i="5"/>
  <c r="O68" i="5"/>
  <c r="P67" i="5"/>
  <c r="O67" i="5"/>
  <c r="P66" i="5"/>
  <c r="O66" i="5"/>
  <c r="P65" i="5"/>
  <c r="O65" i="5"/>
  <c r="P64" i="5"/>
  <c r="O64" i="5"/>
  <c r="P63" i="5"/>
  <c r="O63" i="5"/>
  <c r="P62" i="5"/>
  <c r="O62" i="5"/>
  <c r="P61" i="5"/>
  <c r="O61" i="5"/>
  <c r="P60" i="5"/>
  <c r="O60" i="5"/>
  <c r="P59" i="5"/>
  <c r="O59" i="5"/>
  <c r="P58" i="5"/>
  <c r="O58" i="5"/>
  <c r="P57" i="5"/>
  <c r="O57" i="5"/>
  <c r="P56" i="5"/>
  <c r="O56" i="5"/>
  <c r="P55" i="5"/>
  <c r="O55" i="5"/>
  <c r="P54" i="5"/>
  <c r="O54" i="5"/>
  <c r="P53" i="5"/>
  <c r="O53" i="5"/>
  <c r="P52" i="5"/>
  <c r="O52" i="5"/>
  <c r="P51" i="5"/>
  <c r="O51" i="5"/>
  <c r="P50" i="5"/>
  <c r="O50" i="5"/>
  <c r="P49" i="5"/>
  <c r="O49" i="5"/>
  <c r="P48" i="5"/>
  <c r="O48" i="5"/>
  <c r="P47" i="5"/>
  <c r="O47" i="5"/>
  <c r="P46" i="5"/>
  <c r="O46" i="5"/>
  <c r="P45" i="5"/>
  <c r="O45" i="5"/>
  <c r="P44" i="5"/>
  <c r="O44" i="5"/>
  <c r="P43" i="5"/>
  <c r="O43" i="5"/>
  <c r="P42" i="5"/>
  <c r="O42" i="5"/>
  <c r="P41" i="5"/>
  <c r="O41" i="5"/>
  <c r="P40" i="5"/>
  <c r="O40" i="5"/>
  <c r="P39" i="5"/>
  <c r="O39" i="5"/>
  <c r="P38" i="5"/>
  <c r="O38" i="5"/>
  <c r="P37" i="5"/>
  <c r="O37" i="5"/>
  <c r="P36" i="5"/>
  <c r="O36" i="5"/>
  <c r="P35" i="5"/>
  <c r="O35" i="5"/>
  <c r="P34" i="5"/>
  <c r="O34" i="5"/>
  <c r="P33" i="5"/>
  <c r="O33" i="5"/>
  <c r="P32" i="5"/>
  <c r="O32" i="5"/>
  <c r="P31" i="5"/>
  <c r="O31" i="5"/>
  <c r="P30" i="5"/>
  <c r="O30" i="5"/>
  <c r="P29" i="5"/>
  <c r="O29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P16" i="5"/>
  <c r="O16" i="5"/>
  <c r="P15" i="5"/>
  <c r="O15" i="5"/>
  <c r="P14" i="5"/>
  <c r="O14" i="5"/>
  <c r="P13" i="5"/>
  <c r="O13" i="5"/>
  <c r="P12" i="5"/>
  <c r="O12" i="5"/>
  <c r="P11" i="5"/>
  <c r="O11" i="5"/>
  <c r="P10" i="5"/>
  <c r="O10" i="5"/>
  <c r="P9" i="5"/>
  <c r="O9" i="5"/>
  <c r="P8" i="5"/>
  <c r="O8" i="5"/>
  <c r="P7" i="5"/>
  <c r="O7" i="5"/>
  <c r="P6" i="5"/>
  <c r="O6" i="5"/>
  <c r="P5" i="5"/>
  <c r="O5" i="5"/>
  <c r="P4" i="5"/>
  <c r="O4" i="5"/>
  <c r="P3" i="5"/>
  <c r="O3" i="5"/>
  <c r="I71" i="4" s="1"/>
  <c r="O2" i="5"/>
  <c r="O1" i="5"/>
  <c r="C63" i="4" s="1"/>
  <c r="F820" i="10"/>
  <c r="L816" i="10"/>
  <c r="F816" i="10"/>
  <c r="E816" i="10"/>
  <c r="D816" i="10"/>
  <c r="L809" i="10"/>
  <c r="F809" i="10"/>
  <c r="E809" i="10"/>
  <c r="D809" i="10"/>
  <c r="F805" i="10"/>
  <c r="E805" i="10"/>
  <c r="D805" i="10"/>
  <c r="F803" i="10"/>
  <c r="E803" i="10"/>
  <c r="D803" i="10"/>
  <c r="J785" i="10"/>
  <c r="F785" i="10"/>
  <c r="E785" i="10"/>
  <c r="D785" i="10"/>
  <c r="F761" i="10"/>
  <c r="E761" i="10"/>
  <c r="D761" i="10"/>
  <c r="L729" i="10"/>
  <c r="F729" i="10"/>
  <c r="E729" i="10"/>
  <c r="D729" i="10"/>
  <c r="F726" i="10"/>
  <c r="E726" i="10"/>
  <c r="D726" i="10"/>
  <c r="L714" i="10"/>
  <c r="F714" i="10"/>
  <c r="E714" i="10"/>
  <c r="D714" i="10"/>
  <c r="L692" i="10"/>
  <c r="F692" i="10"/>
  <c r="E692" i="10"/>
  <c r="D692" i="10"/>
  <c r="F674" i="10"/>
  <c r="E674" i="10"/>
  <c r="D674" i="10"/>
  <c r="F645" i="10"/>
  <c r="E645" i="10"/>
  <c r="D645" i="10"/>
  <c r="L623" i="10"/>
  <c r="F623" i="10"/>
  <c r="E623" i="10"/>
  <c r="D623" i="10"/>
  <c r="F604" i="10"/>
  <c r="E604" i="10"/>
  <c r="D604" i="10"/>
  <c r="F582" i="10"/>
  <c r="E582" i="10"/>
  <c r="D582" i="10"/>
  <c r="F560" i="10"/>
  <c r="E560" i="10"/>
  <c r="D560" i="10"/>
  <c r="F546" i="10"/>
  <c r="E546" i="10"/>
  <c r="D546" i="10"/>
  <c r="F525" i="10"/>
  <c r="E525" i="10"/>
  <c r="D525" i="10"/>
  <c r="F502" i="10"/>
  <c r="E502" i="10"/>
  <c r="D502" i="10"/>
  <c r="F491" i="10"/>
  <c r="E491" i="10"/>
  <c r="D491" i="10"/>
  <c r="L451" i="10"/>
  <c r="F451" i="10"/>
  <c r="E451" i="10"/>
  <c r="D451" i="10"/>
  <c r="F447" i="10"/>
  <c r="E447" i="10"/>
  <c r="D447" i="10"/>
  <c r="F435" i="10"/>
  <c r="E435" i="10"/>
  <c r="D435" i="10"/>
  <c r="F433" i="10"/>
  <c r="E433" i="10"/>
  <c r="D433" i="10"/>
  <c r="F415" i="10"/>
  <c r="E415" i="10"/>
  <c r="D415" i="10"/>
  <c r="F398" i="10"/>
  <c r="E398" i="10"/>
  <c r="D398" i="10"/>
  <c r="F381" i="10"/>
  <c r="E381" i="10"/>
  <c r="D381" i="10"/>
  <c r="F362" i="10"/>
  <c r="E362" i="10"/>
  <c r="D362" i="10"/>
  <c r="F341" i="10"/>
  <c r="E341" i="10"/>
  <c r="D341" i="10"/>
  <c r="F339" i="10"/>
  <c r="E339" i="10"/>
  <c r="D339" i="10"/>
  <c r="F322" i="10"/>
  <c r="E322" i="10"/>
  <c r="D322" i="10"/>
  <c r="F307" i="10"/>
  <c r="E307" i="10"/>
  <c r="D307" i="10"/>
  <c r="F290" i="10"/>
  <c r="E290" i="10"/>
  <c r="D290" i="10"/>
  <c r="F276" i="10"/>
  <c r="E276" i="10"/>
  <c r="D276" i="10"/>
  <c r="F258" i="10"/>
  <c r="E258" i="10"/>
  <c r="D258" i="10"/>
  <c r="F242" i="10"/>
  <c r="E242" i="10"/>
  <c r="D242" i="10"/>
  <c r="F225" i="10"/>
  <c r="E225" i="10"/>
  <c r="D225" i="10"/>
  <c r="F206" i="10"/>
  <c r="E206" i="10"/>
  <c r="D206" i="10"/>
  <c r="F191" i="10"/>
  <c r="E191" i="10"/>
  <c r="D191" i="10"/>
  <c r="L171" i="10"/>
  <c r="F171" i="10"/>
  <c r="E171" i="10"/>
  <c r="D171" i="10"/>
  <c r="F169" i="10"/>
  <c r="E169" i="10"/>
  <c r="D169" i="10"/>
  <c r="L158" i="10"/>
  <c r="F158" i="10"/>
  <c r="E158" i="10"/>
  <c r="D158" i="10"/>
  <c r="L139" i="10"/>
  <c r="F139" i="10"/>
  <c r="E139" i="10"/>
  <c r="D139" i="10"/>
  <c r="L130" i="10"/>
  <c r="F130" i="10"/>
  <c r="E130" i="10"/>
  <c r="D130" i="10"/>
  <c r="L110" i="10"/>
  <c r="F110" i="10"/>
  <c r="E110" i="10"/>
  <c r="D110" i="10"/>
  <c r="L91" i="10"/>
  <c r="F91" i="10"/>
  <c r="E91" i="10"/>
  <c r="D91" i="10"/>
  <c r="L76" i="10"/>
  <c r="F76" i="10"/>
  <c r="E76" i="10"/>
  <c r="D76" i="10"/>
  <c r="L60" i="10"/>
  <c r="F60" i="10"/>
  <c r="E60" i="10"/>
  <c r="D60" i="10"/>
  <c r="L37" i="10"/>
  <c r="F37" i="10"/>
  <c r="E37" i="10"/>
  <c r="D37" i="10"/>
  <c r="L21" i="10"/>
  <c r="F21" i="10"/>
  <c r="E21" i="10"/>
  <c r="D21" i="10"/>
  <c r="I72" i="2"/>
  <c r="G56" i="1"/>
  <c r="H56" i="1"/>
  <c r="M56" i="1" s="1"/>
  <c r="F56" i="1"/>
  <c r="M57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4" i="1"/>
  <c r="M55" i="1"/>
  <c r="G63" i="4"/>
  <c r="G74" i="2"/>
  <c r="C74" i="2"/>
  <c r="G35" i="2"/>
  <c r="C35" i="2"/>
  <c r="C36" i="2"/>
  <c r="G36" i="2"/>
  <c r="G15" i="2"/>
  <c r="J66" i="12"/>
  <c r="J65" i="12"/>
  <c r="J68" i="12" s="1"/>
  <c r="J60" i="12"/>
  <c r="G67" i="12"/>
  <c r="M67" i="12" s="1"/>
  <c r="N67" i="12" s="1"/>
  <c r="G66" i="12"/>
  <c r="M66" i="12" s="1"/>
  <c r="N66" i="12" s="1"/>
  <c r="P66" i="12" s="1"/>
  <c r="G65" i="12"/>
  <c r="M65" i="12" s="1"/>
  <c r="N65" i="12" s="1"/>
  <c r="P65" i="12" s="1"/>
  <c r="L68" i="12"/>
  <c r="G68" i="12"/>
  <c r="M68" i="12" s="1"/>
  <c r="N68" i="12" s="1"/>
  <c r="E68" i="12"/>
  <c r="C68" i="12"/>
  <c r="L62" i="12"/>
  <c r="G62" i="12"/>
  <c r="M62" i="12" s="1"/>
  <c r="E62" i="12"/>
  <c r="C62" i="12"/>
  <c r="G61" i="12"/>
  <c r="G60" i="12"/>
  <c r="M60" i="12" s="1"/>
  <c r="N60" i="12" s="1"/>
  <c r="L25" i="12"/>
  <c r="L36" i="12" s="1"/>
  <c r="Q25" i="12"/>
  <c r="E36" i="12"/>
  <c r="C36" i="12"/>
  <c r="L57" i="12"/>
  <c r="E57" i="12"/>
  <c r="C57" i="12"/>
  <c r="G56" i="12"/>
  <c r="M56" i="12" s="1"/>
  <c r="N56" i="12" s="1"/>
  <c r="G55" i="12"/>
  <c r="J55" i="12" s="1"/>
  <c r="J57" i="12" s="1"/>
  <c r="L52" i="12"/>
  <c r="E52" i="12"/>
  <c r="C52" i="12"/>
  <c r="G50" i="12"/>
  <c r="M50" i="12" s="1"/>
  <c r="N50" i="12" s="1"/>
  <c r="G51" i="12"/>
  <c r="M51" i="12" s="1"/>
  <c r="N51" i="12" s="1"/>
  <c r="G49" i="12"/>
  <c r="M49" i="12" s="1"/>
  <c r="N49" i="12" s="1"/>
  <c r="L42" i="12"/>
  <c r="L46" i="12" s="1"/>
  <c r="J40" i="12"/>
  <c r="J42" i="12"/>
  <c r="G46" i="12"/>
  <c r="M46" i="12" s="1"/>
  <c r="N46" i="12" s="1"/>
  <c r="G42" i="12"/>
  <c r="M42" i="12" s="1"/>
  <c r="N42" i="12" s="1"/>
  <c r="G43" i="12"/>
  <c r="J43" i="12" s="1"/>
  <c r="G44" i="12"/>
  <c r="J44" i="12" s="1"/>
  <c r="G45" i="12"/>
  <c r="M45" i="12" s="1"/>
  <c r="N45" i="12" s="1"/>
  <c r="G41" i="12"/>
  <c r="M41" i="12" s="1"/>
  <c r="N41" i="12" s="1"/>
  <c r="J11" i="12"/>
  <c r="J15" i="12"/>
  <c r="G11" i="12"/>
  <c r="G12" i="12"/>
  <c r="J12" i="12" s="1"/>
  <c r="G13" i="12"/>
  <c r="M13" i="12" s="1"/>
  <c r="N13" i="12" s="1"/>
  <c r="P13" i="12" s="1"/>
  <c r="G14" i="12"/>
  <c r="J14" i="12" s="1"/>
  <c r="G15" i="12"/>
  <c r="M15" i="12" s="1"/>
  <c r="N15" i="12" s="1"/>
  <c r="G16" i="12"/>
  <c r="J16" i="12" s="1"/>
  <c r="G17" i="12"/>
  <c r="J17" i="12" s="1"/>
  <c r="G18" i="12"/>
  <c r="J18" i="12" s="1"/>
  <c r="G19" i="12"/>
  <c r="J19" i="12" s="1"/>
  <c r="G20" i="12"/>
  <c r="J20" i="12" s="1"/>
  <c r="G21" i="12"/>
  <c r="J21" i="12" s="1"/>
  <c r="G22" i="12"/>
  <c r="M22" i="12" s="1"/>
  <c r="N22" i="12" s="1"/>
  <c r="G23" i="12"/>
  <c r="J23" i="12" s="1"/>
  <c r="G24" i="12"/>
  <c r="J24" i="12" s="1"/>
  <c r="G25" i="12"/>
  <c r="M25" i="12" s="1"/>
  <c r="N25" i="12" s="1"/>
  <c r="G26" i="12"/>
  <c r="M26" i="12" s="1"/>
  <c r="N26" i="12" s="1"/>
  <c r="G27" i="12"/>
  <c r="J27" i="12" s="1"/>
  <c r="G28" i="12"/>
  <c r="J28" i="12" s="1"/>
  <c r="G29" i="12"/>
  <c r="J29" i="12" s="1"/>
  <c r="G30" i="12"/>
  <c r="J30" i="12" s="1"/>
  <c r="G31" i="12"/>
  <c r="M31" i="12" s="1"/>
  <c r="N31" i="12" s="1"/>
  <c r="G32" i="12"/>
  <c r="M32" i="12" s="1"/>
  <c r="N32" i="12" s="1"/>
  <c r="G33" i="12"/>
  <c r="J33" i="12" s="1"/>
  <c r="G34" i="12"/>
  <c r="M34" i="12" s="1"/>
  <c r="N34" i="12" s="1"/>
  <c r="G35" i="12"/>
  <c r="M35" i="12" s="1"/>
  <c r="N35" i="12" s="1"/>
  <c r="M11" i="12"/>
  <c r="N11" i="12" s="1"/>
  <c r="M14" i="12"/>
  <c r="N14" i="12" s="1"/>
  <c r="M21" i="12"/>
  <c r="N21" i="12" s="1"/>
  <c r="M27" i="12"/>
  <c r="N27" i="12" s="1"/>
  <c r="M33" i="12"/>
  <c r="N33" i="12" s="1"/>
  <c r="M37" i="12"/>
  <c r="N37" i="12" s="1"/>
  <c r="P37" i="12" s="1"/>
  <c r="M38" i="12"/>
  <c r="N38" i="12" s="1"/>
  <c r="P38" i="12" s="1"/>
  <c r="M40" i="12"/>
  <c r="N40" i="12" s="1"/>
  <c r="M43" i="12"/>
  <c r="N43" i="12" s="1"/>
  <c r="M44" i="12"/>
  <c r="N44" i="12" s="1"/>
  <c r="M58" i="12"/>
  <c r="N58" i="12" s="1"/>
  <c r="P58" i="12" s="1"/>
  <c r="M59" i="12"/>
  <c r="N59" i="12" s="1"/>
  <c r="P59" i="12" s="1"/>
  <c r="M61" i="12"/>
  <c r="N61" i="12" s="1"/>
  <c r="M63" i="12"/>
  <c r="N63" i="12" s="1"/>
  <c r="P63" i="12" s="1"/>
  <c r="M64" i="12"/>
  <c r="N64" i="12" s="1"/>
  <c r="P64" i="12" s="1"/>
  <c r="M69" i="12"/>
  <c r="N69" i="12" s="1"/>
  <c r="P69" i="12" s="1"/>
  <c r="G10" i="12"/>
  <c r="M10" i="12" s="1"/>
  <c r="N10" i="12" s="1"/>
  <c r="G39" i="12"/>
  <c r="M39" i="12" s="1"/>
  <c r="N39" i="12" s="1"/>
  <c r="C71" i="4" l="1"/>
  <c r="G71" i="4"/>
  <c r="E71" i="4" s="1"/>
  <c r="E63" i="4"/>
  <c r="E74" i="2"/>
  <c r="E35" i="2"/>
  <c r="E36" i="2"/>
  <c r="P67" i="12"/>
  <c r="P68" i="12"/>
  <c r="P20" i="12"/>
  <c r="M19" i="12"/>
  <c r="N19" i="12" s="1"/>
  <c r="M18" i="12"/>
  <c r="N18" i="12" s="1"/>
  <c r="P27" i="12"/>
  <c r="J51" i="12"/>
  <c r="P51" i="12" s="1"/>
  <c r="M20" i="12"/>
  <c r="N20" i="12" s="1"/>
  <c r="P15" i="12"/>
  <c r="J41" i="12"/>
  <c r="J32" i="12"/>
  <c r="P32" i="12" s="1"/>
  <c r="P33" i="12"/>
  <c r="P21" i="12"/>
  <c r="J62" i="12"/>
  <c r="P61" i="12"/>
  <c r="N62" i="12"/>
  <c r="M17" i="12"/>
  <c r="N17" i="12" s="1"/>
  <c r="P17" i="12" s="1"/>
  <c r="M30" i="12"/>
  <c r="N30" i="12" s="1"/>
  <c r="P30" i="12" s="1"/>
  <c r="M12" i="12"/>
  <c r="N12" i="12" s="1"/>
  <c r="P12" i="12" s="1"/>
  <c r="M29" i="12"/>
  <c r="N29" i="12" s="1"/>
  <c r="P29" i="12" s="1"/>
  <c r="P11" i="12"/>
  <c r="M28" i="12"/>
  <c r="N28" i="12" s="1"/>
  <c r="G36" i="12"/>
  <c r="M36" i="12" s="1"/>
  <c r="N36" i="12" s="1"/>
  <c r="G52" i="12"/>
  <c r="M52" i="12" s="1"/>
  <c r="N52" i="12" s="1"/>
  <c r="P28" i="12"/>
  <c r="P19" i="12"/>
  <c r="M16" i="12"/>
  <c r="N16" i="12" s="1"/>
  <c r="P16" i="12" s="1"/>
  <c r="P18" i="12"/>
  <c r="J50" i="12"/>
  <c r="P50" i="12" s="1"/>
  <c r="P14" i="12"/>
  <c r="P41" i="12"/>
  <c r="J25" i="12"/>
  <c r="P25" i="12" s="1"/>
  <c r="M24" i="12"/>
  <c r="N24" i="12" s="1"/>
  <c r="P24" i="12" s="1"/>
  <c r="M23" i="12"/>
  <c r="N23" i="12" s="1"/>
  <c r="P23" i="12" s="1"/>
  <c r="J35" i="12"/>
  <c r="P35" i="12" s="1"/>
  <c r="J26" i="12"/>
  <c r="P26" i="12" s="1"/>
  <c r="J34" i="12"/>
  <c r="P34" i="12" s="1"/>
  <c r="J22" i="12"/>
  <c r="P22" i="12" s="1"/>
  <c r="P56" i="12"/>
  <c r="J31" i="12"/>
  <c r="P31" i="12" s="1"/>
  <c r="J45" i="12"/>
  <c r="G57" i="12"/>
  <c r="M57" i="12" s="1"/>
  <c r="N57" i="12" s="1"/>
  <c r="M55" i="12"/>
  <c r="N55" i="12" s="1"/>
  <c r="P55" i="12" s="1"/>
  <c r="P42" i="12"/>
  <c r="P43" i="12"/>
  <c r="P62" i="12" l="1"/>
  <c r="P60" i="12"/>
  <c r="P57" i="12" l="1"/>
  <c r="P44" i="12"/>
  <c r="P40" i="12"/>
  <c r="K92" i="2"/>
  <c r="K86" i="2"/>
  <c r="K87" i="2"/>
  <c r="K93" i="6"/>
  <c r="H93" i="6" s="1"/>
  <c r="H91" i="6"/>
  <c r="H89" i="6"/>
  <c r="H87" i="6"/>
  <c r="H85" i="6"/>
  <c r="H83" i="6"/>
  <c r="H81" i="6"/>
  <c r="H35" i="6"/>
  <c r="H33" i="6"/>
  <c r="H31" i="6"/>
  <c r="H29" i="6"/>
  <c r="H27" i="6"/>
  <c r="H25" i="6"/>
  <c r="H23" i="6"/>
  <c r="H21" i="6"/>
  <c r="G51" i="2"/>
  <c r="J49" i="12"/>
  <c r="P45" i="12"/>
  <c r="J39" i="12"/>
  <c r="A3" i="12"/>
  <c r="Q41" i="2"/>
  <c r="G75" i="2"/>
  <c r="G72" i="4"/>
  <c r="G88" i="2"/>
  <c r="G16" i="2"/>
  <c r="C16" i="2"/>
  <c r="G11" i="2"/>
  <c r="C11" i="2"/>
  <c r="G14" i="2"/>
  <c r="C14" i="2"/>
  <c r="G12" i="2"/>
  <c r="C12" i="2"/>
  <c r="I16" i="2"/>
  <c r="I12" i="2"/>
  <c r="I14" i="2"/>
  <c r="I35" i="2"/>
  <c r="K35" i="2" s="1"/>
  <c r="I36" i="2"/>
  <c r="I74" i="2"/>
  <c r="K74" i="2" s="1"/>
  <c r="E14" i="2" l="1"/>
  <c r="E11" i="2"/>
  <c r="E16" i="2"/>
  <c r="E12" i="2"/>
  <c r="P39" i="12"/>
  <c r="J46" i="12"/>
  <c r="P46" i="12" s="1"/>
  <c r="J52" i="12"/>
  <c r="P52" i="12" s="1"/>
  <c r="P49" i="12"/>
  <c r="J10" i="12"/>
  <c r="J36" i="12" s="1"/>
  <c r="I40" i="2"/>
  <c r="I11" i="2"/>
  <c r="G22" i="11"/>
  <c r="E22" i="11"/>
  <c r="G17" i="11"/>
  <c r="I20" i="11"/>
  <c r="G20" i="11"/>
  <c r="L20" i="11" s="1"/>
  <c r="E20" i="11"/>
  <c r="L10" i="11"/>
  <c r="L16" i="11"/>
  <c r="L17" i="11"/>
  <c r="I15" i="11"/>
  <c r="I16" i="11"/>
  <c r="I17" i="11"/>
  <c r="G15" i="11"/>
  <c r="C20" i="11"/>
  <c r="I14" i="11"/>
  <c r="G14" i="11"/>
  <c r="L14" i="11" s="1"/>
  <c r="L13" i="11"/>
  <c r="L15" i="11"/>
  <c r="G13" i="11"/>
  <c r="G12" i="11"/>
  <c r="L12" i="11" s="1"/>
  <c r="G11" i="11"/>
  <c r="L11" i="11" s="1"/>
  <c r="N12" i="11"/>
  <c r="P11" i="11"/>
  <c r="Q11" i="11" s="1"/>
  <c r="N11" i="11"/>
  <c r="I11" i="11"/>
  <c r="N10" i="11"/>
  <c r="A3" i="11"/>
  <c r="P36" i="12" l="1"/>
  <c r="P10" i="12"/>
  <c r="P10" i="11"/>
  <c r="Q10" i="11" s="1"/>
  <c r="I12" i="11"/>
  <c r="P12" i="11"/>
  <c r="Q12" i="11" s="1"/>
  <c r="I10" i="11"/>
  <c r="G58" i="2"/>
  <c r="C58" i="2"/>
  <c r="C75" i="2"/>
  <c r="E75" i="2" s="1"/>
  <c r="I75" i="2"/>
  <c r="I58" i="2"/>
  <c r="A3" i="2"/>
  <c r="I104" i="4"/>
  <c r="I72" i="4"/>
  <c r="E58" i="2" l="1"/>
  <c r="K94" i="6"/>
  <c r="I13" i="11" l="1"/>
  <c r="O85" i="2"/>
  <c r="K85" i="2" l="1"/>
  <c r="O36" i="2" l="1"/>
  <c r="Q36" i="2" s="1"/>
  <c r="R36" i="2" s="1"/>
  <c r="F10" i="6"/>
  <c r="C72" i="2"/>
  <c r="G72" i="2"/>
  <c r="E72" i="2" l="1"/>
  <c r="C15" i="2"/>
  <c r="E15" i="2" s="1"/>
  <c r="G79" i="2"/>
  <c r="C79" i="2"/>
  <c r="G73" i="2"/>
  <c r="C73" i="2"/>
  <c r="I57" i="2"/>
  <c r="G57" i="2"/>
  <c r="C57" i="2"/>
  <c r="I53" i="2"/>
  <c r="G53" i="2"/>
  <c r="C53" i="2"/>
  <c r="I52" i="2"/>
  <c r="G52" i="2"/>
  <c r="C52" i="2"/>
  <c r="I51" i="2"/>
  <c r="C51" i="2"/>
  <c r="E51" i="2" s="1"/>
  <c r="I47" i="2"/>
  <c r="G47" i="2"/>
  <c r="C47" i="2"/>
  <c r="I45" i="2"/>
  <c r="G45" i="2"/>
  <c r="C45" i="2"/>
  <c r="I44" i="2"/>
  <c r="G44" i="2"/>
  <c r="C44" i="2"/>
  <c r="I43" i="2"/>
  <c r="G43" i="2"/>
  <c r="C43" i="2"/>
  <c r="I42" i="2"/>
  <c r="G42" i="2"/>
  <c r="C42" i="2"/>
  <c r="I41" i="2"/>
  <c r="G41" i="2"/>
  <c r="C41" i="2"/>
  <c r="R41" i="2" s="1"/>
  <c r="G40" i="2"/>
  <c r="C40" i="2"/>
  <c r="I34" i="2"/>
  <c r="G34" i="2"/>
  <c r="C34" i="2"/>
  <c r="I33" i="2"/>
  <c r="G33" i="2"/>
  <c r="C33" i="2"/>
  <c r="I32" i="2"/>
  <c r="G32" i="2"/>
  <c r="C32" i="2"/>
  <c r="I31" i="2"/>
  <c r="G31" i="2"/>
  <c r="C31" i="2"/>
  <c r="I30" i="2"/>
  <c r="G30" i="2"/>
  <c r="C30" i="2"/>
  <c r="I29" i="2"/>
  <c r="G29" i="2"/>
  <c r="C29" i="2"/>
  <c r="I28" i="2"/>
  <c r="G28" i="2"/>
  <c r="C28" i="2"/>
  <c r="I27" i="2"/>
  <c r="G27" i="2"/>
  <c r="C27" i="2"/>
  <c r="I26" i="2"/>
  <c r="G26" i="2"/>
  <c r="C26" i="2"/>
  <c r="I25" i="2"/>
  <c r="G25" i="2"/>
  <c r="C25" i="2"/>
  <c r="I24" i="2"/>
  <c r="G24" i="2"/>
  <c r="C24" i="2"/>
  <c r="I23" i="2"/>
  <c r="G23" i="2"/>
  <c r="C23" i="2"/>
  <c r="I22" i="2"/>
  <c r="G22" i="2"/>
  <c r="C22" i="2"/>
  <c r="I21" i="2"/>
  <c r="G21" i="2"/>
  <c r="C21" i="2"/>
  <c r="I20" i="2"/>
  <c r="G20" i="2"/>
  <c r="C20" i="2"/>
  <c r="I19" i="2"/>
  <c r="G19" i="2"/>
  <c r="C19" i="2"/>
  <c r="I18" i="2"/>
  <c r="G18" i="2"/>
  <c r="C18" i="2"/>
  <c r="I17" i="2"/>
  <c r="G17" i="2"/>
  <c r="C17" i="2"/>
  <c r="I13" i="2"/>
  <c r="G13" i="2"/>
  <c r="C13" i="2"/>
  <c r="I10" i="2"/>
  <c r="G10" i="2"/>
  <c r="C10" i="2"/>
  <c r="C63" i="2"/>
  <c r="G63" i="2"/>
  <c r="I63" i="2"/>
  <c r="I62" i="2"/>
  <c r="G62" i="2"/>
  <c r="C62" i="2"/>
  <c r="E52" i="2" l="1"/>
  <c r="E10" i="2"/>
  <c r="E23" i="2"/>
  <c r="E31" i="2"/>
  <c r="E40" i="2"/>
  <c r="E42" i="2"/>
  <c r="E19" i="2"/>
  <c r="E47" i="2"/>
  <c r="E27" i="2"/>
  <c r="E73" i="2"/>
  <c r="E76" i="2" s="1"/>
  <c r="E13" i="2"/>
  <c r="E24" i="2"/>
  <c r="E28" i="2"/>
  <c r="E32" i="2"/>
  <c r="E41" i="2"/>
  <c r="E45" i="2"/>
  <c r="E20" i="2"/>
  <c r="E57" i="2"/>
  <c r="E59" i="2" s="1"/>
  <c r="E21" i="2"/>
  <c r="E29" i="2"/>
  <c r="E43" i="2"/>
  <c r="E25" i="2"/>
  <c r="E63" i="2"/>
  <c r="E18" i="2"/>
  <c r="E22" i="2"/>
  <c r="E26" i="2"/>
  <c r="E30" i="2"/>
  <c r="E34" i="2"/>
  <c r="G80" i="2"/>
  <c r="E79" i="2"/>
  <c r="E80" i="2" s="1"/>
  <c r="E53" i="2"/>
  <c r="E62" i="2"/>
  <c r="E33" i="2"/>
  <c r="E17" i="2"/>
  <c r="E44" i="2"/>
  <c r="C88" i="2"/>
  <c r="C80" i="2"/>
  <c r="O10" i="2"/>
  <c r="Q10" i="2" s="1"/>
  <c r="R10" i="2" s="1"/>
  <c r="M27" i="2"/>
  <c r="B117" i="6"/>
  <c r="O28" i="2"/>
  <c r="Q28" i="2" s="1"/>
  <c r="R28" i="2" s="1"/>
  <c r="O16" i="2"/>
  <c r="Q16" i="2" s="1"/>
  <c r="R16" i="2" s="1"/>
  <c r="O62" i="2"/>
  <c r="Q62" i="2" s="1"/>
  <c r="R62" i="2" s="1"/>
  <c r="O12" i="2"/>
  <c r="Q12" i="2" s="1"/>
  <c r="R12" i="2" s="1"/>
  <c r="O17" i="2"/>
  <c r="Q17" i="2" s="1"/>
  <c r="R17" i="2" s="1"/>
  <c r="O21" i="2"/>
  <c r="Q21" i="2" s="1"/>
  <c r="R21" i="2" s="1"/>
  <c r="O25" i="2"/>
  <c r="Q25" i="2" s="1"/>
  <c r="R25" i="2" s="1"/>
  <c r="O29" i="2"/>
  <c r="Q29" i="2" s="1"/>
  <c r="R29" i="2" s="1"/>
  <c r="O33" i="2"/>
  <c r="Q33" i="2" s="1"/>
  <c r="R33" i="2" s="1"/>
  <c r="O24" i="2"/>
  <c r="Q24" i="2" s="1"/>
  <c r="R24" i="2" s="1"/>
  <c r="O11" i="2"/>
  <c r="Q11" i="2" s="1"/>
  <c r="R11" i="2" s="1"/>
  <c r="O20" i="2"/>
  <c r="Q20" i="2" s="1"/>
  <c r="R20" i="2" s="1"/>
  <c r="O32" i="2"/>
  <c r="Q32" i="2" s="1"/>
  <c r="R32" i="2" s="1"/>
  <c r="O40" i="2"/>
  <c r="Q40" i="2" s="1"/>
  <c r="R40" i="2" s="1"/>
  <c r="O63" i="2"/>
  <c r="O42" i="2"/>
  <c r="Q42" i="2" s="1"/>
  <c r="R42" i="2" s="1"/>
  <c r="O47" i="2"/>
  <c r="Q47" i="2" s="1"/>
  <c r="R47" i="2" s="1"/>
  <c r="O57" i="2"/>
  <c r="Q57" i="2" s="1"/>
  <c r="R57" i="2" s="1"/>
  <c r="O43" i="2"/>
  <c r="Q43" i="2" s="1"/>
  <c r="R43" i="2" s="1"/>
  <c r="O51" i="2"/>
  <c r="Q51" i="2" s="1"/>
  <c r="R51" i="2" s="1"/>
  <c r="O13" i="2"/>
  <c r="O18" i="2"/>
  <c r="Q18" i="2" s="1"/>
  <c r="R18" i="2" s="1"/>
  <c r="O22" i="2"/>
  <c r="Q22" i="2" s="1"/>
  <c r="R22" i="2" s="1"/>
  <c r="O26" i="2"/>
  <c r="Q26" i="2" s="1"/>
  <c r="R26" i="2" s="1"/>
  <c r="O30" i="2"/>
  <c r="Q30" i="2" s="1"/>
  <c r="R30" i="2" s="1"/>
  <c r="O34" i="2"/>
  <c r="Q34" i="2" s="1"/>
  <c r="R34" i="2" s="1"/>
  <c r="O44" i="2"/>
  <c r="Q44" i="2" s="1"/>
  <c r="R44" i="2" s="1"/>
  <c r="O52" i="2"/>
  <c r="Q52" i="2" s="1"/>
  <c r="R52" i="2" s="1"/>
  <c r="O14" i="2"/>
  <c r="Q14" i="2" s="1"/>
  <c r="R14" i="2" s="1"/>
  <c r="O19" i="2"/>
  <c r="Q19" i="2" s="1"/>
  <c r="R19" i="2" s="1"/>
  <c r="O23" i="2"/>
  <c r="Q23" i="2" s="1"/>
  <c r="R23" i="2" s="1"/>
  <c r="O27" i="2"/>
  <c r="Q27" i="2" s="1"/>
  <c r="R27" i="2" s="1"/>
  <c r="O31" i="2"/>
  <c r="Q31" i="2" s="1"/>
  <c r="R31" i="2" s="1"/>
  <c r="O45" i="2"/>
  <c r="Q45" i="2" s="1"/>
  <c r="R45" i="2" s="1"/>
  <c r="O53" i="2"/>
  <c r="Q53" i="2" s="1"/>
  <c r="R53" i="2" s="1"/>
  <c r="O15" i="2"/>
  <c r="Q15" i="2" s="1"/>
  <c r="R15" i="2" s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E54" i="2" l="1"/>
  <c r="E64" i="2"/>
  <c r="E37" i="2"/>
  <c r="E48" i="2"/>
  <c r="O58" i="2"/>
  <c r="O75" i="2"/>
  <c r="I79" i="2"/>
  <c r="I73" i="2"/>
  <c r="O72" i="2"/>
  <c r="Q72" i="2" s="1"/>
  <c r="R72" i="2" s="1"/>
  <c r="F108" i="6"/>
  <c r="E82" i="2" l="1"/>
  <c r="O79" i="2"/>
  <c r="I80" i="2"/>
  <c r="O73" i="2"/>
  <c r="Q73" i="2" s="1"/>
  <c r="R73" i="2" s="1"/>
  <c r="I88" i="2"/>
  <c r="C117" i="6" l="1"/>
  <c r="D117" i="6" s="1"/>
  <c r="G93" i="6" s="1"/>
  <c r="N88" i="2"/>
  <c r="C72" i="4"/>
  <c r="E72" i="4" s="1"/>
  <c r="F117" i="6" l="1"/>
  <c r="G61" i="6"/>
  <c r="I44" i="6" l="1"/>
  <c r="L94" i="6"/>
  <c r="J94" i="6"/>
  <c r="I97" i="4" l="1"/>
  <c r="G97" i="4"/>
  <c r="I50" i="4"/>
  <c r="G65" i="4"/>
  <c r="G56" i="4"/>
  <c r="G50" i="4"/>
  <c r="G26" i="4"/>
  <c r="G11" i="4"/>
  <c r="G35" i="4"/>
  <c r="G89" i="4"/>
  <c r="I89" i="4"/>
  <c r="G70" i="4"/>
  <c r="G98" i="4"/>
  <c r="G64" i="4"/>
  <c r="G78" i="4"/>
  <c r="G59" i="4"/>
  <c r="G31" i="4"/>
  <c r="G52" i="4"/>
  <c r="G34" i="4"/>
  <c r="G32" i="4"/>
  <c r="G24" i="4"/>
  <c r="G30" i="4"/>
  <c r="G82" i="4"/>
  <c r="G53" i="4"/>
  <c r="G81" i="4"/>
  <c r="G92" i="4"/>
  <c r="G20" i="4"/>
  <c r="G23" i="4"/>
  <c r="G99" i="4"/>
  <c r="G58" i="4"/>
  <c r="G61" i="4"/>
  <c r="G43" i="4"/>
  <c r="G46" i="4"/>
  <c r="G44" i="4"/>
  <c r="G57" i="4"/>
  <c r="G60" i="4"/>
  <c r="G15" i="4"/>
  <c r="G83" i="4"/>
  <c r="G67" i="4"/>
  <c r="G38" i="4"/>
  <c r="G91" i="4"/>
  <c r="G90" i="4"/>
  <c r="G40" i="4"/>
  <c r="G13" i="4"/>
  <c r="G36" i="4"/>
  <c r="G69" i="4"/>
  <c r="G80" i="4"/>
  <c r="G55" i="4"/>
  <c r="G45" i="4"/>
  <c r="G62" i="4"/>
  <c r="G79" i="4"/>
  <c r="G39" i="4"/>
  <c r="G25" i="4"/>
  <c r="G41" i="4"/>
  <c r="G33" i="4"/>
  <c r="G68" i="4"/>
  <c r="G10" i="4"/>
  <c r="G21" i="4"/>
  <c r="G12" i="4"/>
  <c r="G66" i="4"/>
  <c r="G37" i="4"/>
  <c r="G51" i="4"/>
  <c r="G19" i="4"/>
  <c r="G14" i="4"/>
  <c r="G77" i="4"/>
  <c r="G54" i="4"/>
  <c r="G22" i="4"/>
  <c r="G86" i="4"/>
  <c r="G42" i="4"/>
  <c r="I70" i="4"/>
  <c r="C70" i="4"/>
  <c r="C90" i="4"/>
  <c r="I91" i="4"/>
  <c r="I23" i="4"/>
  <c r="I82" i="4"/>
  <c r="I98" i="4"/>
  <c r="I46" i="4"/>
  <c r="I78" i="4"/>
  <c r="I44" i="4"/>
  <c r="I62" i="4"/>
  <c r="I12" i="4"/>
  <c r="I14" i="4"/>
  <c r="I61" i="4"/>
  <c r="I26" i="4"/>
  <c r="I68" i="4"/>
  <c r="I81" i="4"/>
  <c r="I66" i="4"/>
  <c r="I38" i="4"/>
  <c r="I64" i="4"/>
  <c r="I80" i="4"/>
  <c r="I36" i="4"/>
  <c r="I54" i="4"/>
  <c r="I83" i="4"/>
  <c r="I52" i="4"/>
  <c r="I19" i="4"/>
  <c r="C64" i="4"/>
  <c r="I77" i="4"/>
  <c r="I60" i="4"/>
  <c r="I67" i="4"/>
  <c r="I30" i="4"/>
  <c r="I56" i="4"/>
  <c r="I39" i="4"/>
  <c r="I25" i="4"/>
  <c r="I43" i="4"/>
  <c r="I69" i="4"/>
  <c r="I58" i="4"/>
  <c r="I59" i="4"/>
  <c r="I35" i="4"/>
  <c r="I40" i="4"/>
  <c r="I45" i="4"/>
  <c r="I79" i="4"/>
  <c r="I41" i="4"/>
  <c r="I51" i="4"/>
  <c r="I92" i="4"/>
  <c r="I37" i="4"/>
  <c r="I24" i="4"/>
  <c r="I53" i="4"/>
  <c r="C10" i="4"/>
  <c r="I33" i="4"/>
  <c r="I31" i="4"/>
  <c r="I13" i="4"/>
  <c r="I22" i="4"/>
  <c r="I32" i="4"/>
  <c r="I65" i="4"/>
  <c r="I15" i="4"/>
  <c r="I34" i="4"/>
  <c r="I11" i="4"/>
  <c r="I21" i="4"/>
  <c r="I57" i="4"/>
  <c r="C43" i="4"/>
  <c r="I55" i="4"/>
  <c r="I42" i="4"/>
  <c r="C97" i="4"/>
  <c r="C39" i="4"/>
  <c r="I10" i="4"/>
  <c r="C23" i="4"/>
  <c r="C89" i="4"/>
  <c r="C91" i="4"/>
  <c r="I73" i="4" l="1"/>
  <c r="O10" i="4"/>
  <c r="E90" i="4"/>
  <c r="E89" i="4"/>
  <c r="E10" i="4"/>
  <c r="E43" i="4"/>
  <c r="E91" i="4"/>
  <c r="E39" i="4"/>
  <c r="E23" i="4"/>
  <c r="E64" i="4"/>
  <c r="E97" i="4"/>
  <c r="E70" i="4"/>
  <c r="G100" i="4"/>
  <c r="K70" i="4"/>
  <c r="K43" i="4"/>
  <c r="K71" i="4"/>
  <c r="K23" i="4"/>
  <c r="A66" i="6" l="1"/>
  <c r="K36" i="6" l="1"/>
  <c r="L36" i="6"/>
  <c r="M22" i="6"/>
  <c r="M23" i="6"/>
  <c r="M24" i="6"/>
  <c r="M25" i="6"/>
  <c r="M26" i="6"/>
  <c r="M27" i="6"/>
  <c r="M28" i="6"/>
  <c r="M29" i="6"/>
  <c r="M30" i="6"/>
  <c r="M31" i="6"/>
  <c r="M32" i="6"/>
  <c r="M34" i="6"/>
  <c r="M35" i="6"/>
  <c r="M21" i="6"/>
  <c r="M81" i="6"/>
  <c r="M95" i="6"/>
  <c r="M93" i="6"/>
  <c r="M91" i="6"/>
  <c r="M89" i="6"/>
  <c r="M87" i="6"/>
  <c r="M85" i="6"/>
  <c r="M83" i="6"/>
  <c r="C66" i="4" l="1"/>
  <c r="E66" i="4" s="1"/>
  <c r="C67" i="4"/>
  <c r="E67" i="4" s="1"/>
  <c r="C68" i="4"/>
  <c r="E68" i="4" s="1"/>
  <c r="C69" i="4"/>
  <c r="E69" i="4" s="1"/>
  <c r="C65" i="4"/>
  <c r="E65" i="4" s="1"/>
  <c r="C99" i="4"/>
  <c r="E99" i="4" s="1"/>
  <c r="M33" i="6"/>
  <c r="M36" i="6" s="1"/>
  <c r="M94" i="6"/>
  <c r="M38" i="6"/>
  <c r="J36" i="6"/>
  <c r="C98" i="4" l="1"/>
  <c r="C92" i="4"/>
  <c r="E92" i="4" s="1"/>
  <c r="E93" i="4" s="1"/>
  <c r="B53" i="6"/>
  <c r="C86" i="4"/>
  <c r="E86" i="4" s="1"/>
  <c r="C83" i="4"/>
  <c r="E83" i="4" s="1"/>
  <c r="C82" i="4"/>
  <c r="E82" i="4" s="1"/>
  <c r="C81" i="4"/>
  <c r="E81" i="4" s="1"/>
  <c r="C80" i="4"/>
  <c r="E80" i="4" s="1"/>
  <c r="C79" i="4"/>
  <c r="E79" i="4" s="1"/>
  <c r="C78" i="4"/>
  <c r="E78" i="4" s="1"/>
  <c r="C77" i="4"/>
  <c r="E77" i="4" s="1"/>
  <c r="C62" i="4"/>
  <c r="E62" i="4" s="1"/>
  <c r="C26" i="4"/>
  <c r="E26" i="4" s="1"/>
  <c r="C25" i="4"/>
  <c r="E25" i="4" s="1"/>
  <c r="C24" i="4"/>
  <c r="E24" i="4" s="1"/>
  <c r="C22" i="4"/>
  <c r="E22" i="4" s="1"/>
  <c r="C21" i="4"/>
  <c r="E21" i="4" s="1"/>
  <c r="C20" i="4"/>
  <c r="E20" i="4" s="1"/>
  <c r="C19" i="4"/>
  <c r="E19" i="4" s="1"/>
  <c r="C15" i="4"/>
  <c r="E15" i="4" s="1"/>
  <c r="C14" i="4"/>
  <c r="E14" i="4" s="1"/>
  <c r="C13" i="4"/>
  <c r="E13" i="4" s="1"/>
  <c r="C12" i="4"/>
  <c r="E12" i="4" s="1"/>
  <c r="C11" i="4"/>
  <c r="E11" i="4" s="1"/>
  <c r="C46" i="4"/>
  <c r="C45" i="4"/>
  <c r="C44" i="4"/>
  <c r="C42" i="4"/>
  <c r="E42" i="4" s="1"/>
  <c r="C41" i="4"/>
  <c r="E41" i="4" s="1"/>
  <c r="C40" i="4"/>
  <c r="E40" i="4" s="1"/>
  <c r="C38" i="4"/>
  <c r="E38" i="4" s="1"/>
  <c r="C37" i="4"/>
  <c r="E37" i="4" s="1"/>
  <c r="C36" i="4"/>
  <c r="E36" i="4" s="1"/>
  <c r="C35" i="4"/>
  <c r="E35" i="4" s="1"/>
  <c r="C34" i="4"/>
  <c r="E34" i="4" s="1"/>
  <c r="C33" i="4"/>
  <c r="E33" i="4" s="1"/>
  <c r="C32" i="4"/>
  <c r="E32" i="4" s="1"/>
  <c r="C31" i="4"/>
  <c r="E31" i="4" s="1"/>
  <c r="C30" i="4"/>
  <c r="E30" i="4" s="1"/>
  <c r="C61" i="4"/>
  <c r="E61" i="4" s="1"/>
  <c r="C60" i="4"/>
  <c r="E60" i="4" s="1"/>
  <c r="C59" i="4"/>
  <c r="E59" i="4" s="1"/>
  <c r="C58" i="4"/>
  <c r="E58" i="4" s="1"/>
  <c r="C57" i="4"/>
  <c r="E57" i="4" s="1"/>
  <c r="C56" i="4"/>
  <c r="E56" i="4" s="1"/>
  <c r="C55" i="4"/>
  <c r="E55" i="4" s="1"/>
  <c r="C54" i="4"/>
  <c r="E54" i="4" s="1"/>
  <c r="C53" i="4"/>
  <c r="E53" i="4" s="1"/>
  <c r="C52" i="4"/>
  <c r="E52" i="4" s="1"/>
  <c r="C51" i="4"/>
  <c r="E51" i="4" s="1"/>
  <c r="C50" i="4"/>
  <c r="E50" i="4" s="1"/>
  <c r="E16" i="4" l="1"/>
  <c r="E84" i="4"/>
  <c r="E27" i="4"/>
  <c r="E47" i="4"/>
  <c r="E73" i="4"/>
  <c r="C100" i="4"/>
  <c r="E98" i="4"/>
  <c r="E100" i="4" s="1"/>
  <c r="E102" i="4" s="1"/>
  <c r="C73" i="4"/>
  <c r="K10" i="4"/>
  <c r="K72" i="4"/>
  <c r="K15" i="4"/>
  <c r="B55" i="6"/>
  <c r="K19" i="4"/>
  <c r="G84" i="4"/>
  <c r="C93" i="4"/>
  <c r="C84" i="4"/>
  <c r="G93" i="4"/>
  <c r="C16" i="4"/>
  <c r="C27" i="4"/>
  <c r="C47" i="4"/>
  <c r="G27" i="4"/>
  <c r="G16" i="4"/>
  <c r="G73" i="4"/>
  <c r="G47" i="4"/>
  <c r="B52" i="6" l="1"/>
  <c r="B51" i="6"/>
  <c r="B50" i="6"/>
  <c r="B48" i="6"/>
  <c r="B49" i="6"/>
  <c r="B54" i="6"/>
  <c r="K40" i="4"/>
  <c r="K45" i="4"/>
  <c r="K12" i="4"/>
  <c r="K39" i="4"/>
  <c r="K42" i="4"/>
  <c r="K13" i="4"/>
  <c r="K21" i="4"/>
  <c r="K35" i="4"/>
  <c r="K36" i="4"/>
  <c r="K22" i="4"/>
  <c r="K38" i="4"/>
  <c r="K31" i="4"/>
  <c r="K20" i="4"/>
  <c r="K26" i="4"/>
  <c r="K11" i="4"/>
  <c r="K44" i="4"/>
  <c r="K37" i="4"/>
  <c r="K34" i="4"/>
  <c r="K41" i="4"/>
  <c r="K30" i="4"/>
  <c r="K33" i="4"/>
  <c r="K46" i="4"/>
  <c r="K14" i="4"/>
  <c r="K24" i="4"/>
  <c r="K25" i="4"/>
  <c r="I47" i="4"/>
  <c r="O47" i="4" s="1"/>
  <c r="I27" i="4"/>
  <c r="O27" i="4" s="1"/>
  <c r="K32" i="4"/>
  <c r="I16" i="4"/>
  <c r="O16" i="4" s="1"/>
  <c r="C102" i="4"/>
  <c r="G102" i="4"/>
  <c r="N16" i="4" s="1"/>
  <c r="N93" i="4" l="1"/>
  <c r="N27" i="4"/>
  <c r="C5" i="6"/>
  <c r="N86" i="4"/>
  <c r="N100" i="4"/>
  <c r="N47" i="4"/>
  <c r="N84" i="4"/>
  <c r="K27" i="4"/>
  <c r="K16" i="4"/>
  <c r="K47" i="4"/>
  <c r="C50" i="6"/>
  <c r="D50" i="6" s="1"/>
  <c r="G25" i="6" s="1"/>
  <c r="C49" i="6"/>
  <c r="D49" i="6" s="1"/>
  <c r="G23" i="6" s="1"/>
  <c r="C48" i="6"/>
  <c r="D48" i="6" s="1"/>
  <c r="F48" i="6" s="1"/>
  <c r="F50" i="6" l="1"/>
  <c r="F49" i="6"/>
  <c r="G21" i="6"/>
  <c r="G76" i="2" l="1"/>
  <c r="C76" i="2"/>
  <c r="C64" i="2"/>
  <c r="G64" i="2"/>
  <c r="B115" i="6" l="1"/>
  <c r="B116" i="6"/>
  <c r="G59" i="2"/>
  <c r="C59" i="2"/>
  <c r="G54" i="2"/>
  <c r="C54" i="2"/>
  <c r="B113" i="6" l="1"/>
  <c r="B114" i="6"/>
  <c r="C48" i="2"/>
  <c r="G48" i="2"/>
  <c r="B112" i="6" l="1"/>
  <c r="K73" i="2" l="1"/>
  <c r="K63" i="2"/>
  <c r="K44" i="2"/>
  <c r="K30" i="2"/>
  <c r="K41" i="2"/>
  <c r="K43" i="2"/>
  <c r="C37" i="2"/>
  <c r="C82" i="2" s="1"/>
  <c r="C90" i="2" s="1"/>
  <c r="G37" i="2"/>
  <c r="G82" i="2" s="1"/>
  <c r="G90" i="2" s="1"/>
  <c r="K15" i="2"/>
  <c r="G92" i="2" l="1"/>
  <c r="C92" i="2"/>
  <c r="K28" i="2"/>
  <c r="K31" i="2"/>
  <c r="K42" i="2"/>
  <c r="K21" i="2"/>
  <c r="K47" i="2"/>
  <c r="K12" i="2"/>
  <c r="K57" i="2"/>
  <c r="K58" i="2"/>
  <c r="K33" i="2"/>
  <c r="K52" i="2"/>
  <c r="K14" i="2"/>
  <c r="K34" i="2"/>
  <c r="K36" i="2"/>
  <c r="K62" i="2"/>
  <c r="K22" i="2"/>
  <c r="K75" i="2"/>
  <c r="K29" i="2"/>
  <c r="K11" i="2"/>
  <c r="K19" i="2"/>
  <c r="K16" i="2"/>
  <c r="K13" i="2"/>
  <c r="K20" i="2"/>
  <c r="K24" i="2"/>
  <c r="K18" i="2"/>
  <c r="K27" i="2"/>
  <c r="K53" i="2"/>
  <c r="K10" i="2"/>
  <c r="K23" i="2"/>
  <c r="K45" i="2"/>
  <c r="K26" i="2"/>
  <c r="K17" i="2"/>
  <c r="K25" i="2"/>
  <c r="K32" i="2"/>
  <c r="K79" i="2"/>
  <c r="B111" i="6"/>
  <c r="I64" i="2"/>
  <c r="N64" i="2" s="1"/>
  <c r="I59" i="2"/>
  <c r="N59" i="2" s="1"/>
  <c r="I54" i="2"/>
  <c r="N54" i="2" s="1"/>
  <c r="K51" i="2"/>
  <c r="K40" i="2"/>
  <c r="I48" i="2"/>
  <c r="M48" i="2" s="1"/>
  <c r="I76" i="2"/>
  <c r="K72" i="2"/>
  <c r="I37" i="2"/>
  <c r="M37" i="2" s="1"/>
  <c r="I82" i="2" l="1"/>
  <c r="I90" i="2" s="1"/>
  <c r="K88" i="2"/>
  <c r="K80" i="2"/>
  <c r="C104" i="4"/>
  <c r="C106" i="4" s="1"/>
  <c r="G104" i="4"/>
  <c r="G106" i="4" s="1"/>
  <c r="C69" i="6"/>
  <c r="O76" i="2"/>
  <c r="N76" i="2"/>
  <c r="M88" i="2"/>
  <c r="M64" i="2"/>
  <c r="M76" i="2"/>
  <c r="M54" i="2"/>
  <c r="M59" i="2"/>
  <c r="C111" i="6"/>
  <c r="D111" i="6" s="1"/>
  <c r="K64" i="2"/>
  <c r="K59" i="2"/>
  <c r="K37" i="2"/>
  <c r="K76" i="2"/>
  <c r="K54" i="2"/>
  <c r="K48" i="2"/>
  <c r="C115" i="6"/>
  <c r="D115" i="6" s="1"/>
  <c r="C116" i="6"/>
  <c r="D116" i="6" s="1"/>
  <c r="C112" i="6"/>
  <c r="D112" i="6" s="1"/>
  <c r="C113" i="6"/>
  <c r="D113" i="6" s="1"/>
  <c r="C114" i="6"/>
  <c r="D114" i="6" s="1"/>
  <c r="K98" i="4"/>
  <c r="K61" i="4"/>
  <c r="K82" i="2" l="1"/>
  <c r="K90" i="2" s="1"/>
  <c r="C75" i="6"/>
  <c r="C77" i="6" s="1"/>
  <c r="C73" i="6"/>
  <c r="C72" i="6"/>
  <c r="M90" i="2"/>
  <c r="K92" i="4"/>
  <c r="K91" i="4"/>
  <c r="K77" i="4"/>
  <c r="K80" i="4"/>
  <c r="K66" i="4"/>
  <c r="K67" i="4"/>
  <c r="K82" i="4"/>
  <c r="K68" i="4"/>
  <c r="K83" i="4"/>
  <c r="K69" i="4"/>
  <c r="K81" i="4"/>
  <c r="K79" i="4"/>
  <c r="K65" i="4"/>
  <c r="K78" i="4"/>
  <c r="K64" i="4"/>
  <c r="K52" i="4"/>
  <c r="K63" i="4"/>
  <c r="K59" i="4"/>
  <c r="K56" i="4"/>
  <c r="K51" i="4"/>
  <c r="K55" i="4"/>
  <c r="K53" i="4"/>
  <c r="K58" i="4"/>
  <c r="K62" i="4"/>
  <c r="K57" i="4"/>
  <c r="K54" i="4"/>
  <c r="K50" i="4"/>
  <c r="K60" i="4"/>
  <c r="F111" i="6"/>
  <c r="G111" i="6" s="1"/>
  <c r="G81" i="6"/>
  <c r="F113" i="6"/>
  <c r="G113" i="6" s="1"/>
  <c r="G85" i="6"/>
  <c r="F116" i="6"/>
  <c r="G116" i="6" s="1"/>
  <c r="G91" i="6"/>
  <c r="F112" i="6"/>
  <c r="G112" i="6" s="1"/>
  <c r="G83" i="6"/>
  <c r="F114" i="6"/>
  <c r="G114" i="6" s="1"/>
  <c r="G87" i="6"/>
  <c r="F115" i="6"/>
  <c r="G115" i="6" s="1"/>
  <c r="G89" i="6"/>
  <c r="I84" i="4"/>
  <c r="O84" i="4" s="1"/>
  <c r="C79" i="6" l="1"/>
  <c r="K84" i="4"/>
  <c r="K73" i="4"/>
  <c r="C51" i="6"/>
  <c r="C52" i="6"/>
  <c r="D52" i="6" s="1"/>
  <c r="G29" i="6" l="1"/>
  <c r="F52" i="6"/>
  <c r="D51" i="6"/>
  <c r="G27" i="6" l="1"/>
  <c r="F51" i="6"/>
  <c r="I86" i="4" l="1"/>
  <c r="O86" i="4" s="1"/>
  <c r="K86" i="4" l="1"/>
  <c r="C53" i="6"/>
  <c r="D53" i="6" s="1"/>
  <c r="K97" i="4"/>
  <c r="F53" i="6" l="1"/>
  <c r="G31" i="6"/>
  <c r="I99" i="4" l="1"/>
  <c r="I100" i="4" s="1"/>
  <c r="O100" i="4" l="1"/>
  <c r="K99" i="4"/>
  <c r="K100" i="4" s="1"/>
  <c r="K89" i="4"/>
  <c r="C55" i="6"/>
  <c r="D55" i="6" l="1"/>
  <c r="G35" i="6" l="1"/>
  <c r="F55" i="6"/>
  <c r="I90" i="4" l="1"/>
  <c r="K90" i="4" l="1"/>
  <c r="K93" i="4" s="1"/>
  <c r="K102" i="4" s="1"/>
  <c r="I93" i="4"/>
  <c r="O93" i="4" l="1"/>
  <c r="I102" i="4"/>
  <c r="C54" i="6"/>
  <c r="I106" i="4" l="1"/>
  <c r="I92" i="2"/>
  <c r="D54" i="6"/>
  <c r="C6" i="6"/>
  <c r="C7" i="6" l="1"/>
  <c r="C9" i="6"/>
  <c r="G33" i="6"/>
  <c r="F54" i="6"/>
</calcChain>
</file>

<file path=xl/sharedStrings.xml><?xml version="1.0" encoding="utf-8"?>
<sst xmlns="http://schemas.openxmlformats.org/spreadsheetml/2006/main" count="4556" uniqueCount="1034">
  <si>
    <t xml:space="preserve">ORG                           </t>
  </si>
  <si>
    <t>OBJ</t>
  </si>
  <si>
    <t>ACCOUNT</t>
  </si>
  <si>
    <t>ACCOUNT DESCRIPTION</t>
  </si>
  <si>
    <t>TYPE</t>
  </si>
  <si>
    <t>ORIGINAL APPROP</t>
  </si>
  <si>
    <t>REVISED BUDGET</t>
  </si>
  <si>
    <t>YTD EXPENDED</t>
  </si>
  <si>
    <t>MTD EXPENDED</t>
  </si>
  <si>
    <t>ENCUMBRANCES</t>
  </si>
  <si>
    <t>AVAILABLE BUDGET</t>
  </si>
  <si>
    <t>% USED</t>
  </si>
  <si>
    <t>10001000</t>
  </si>
  <si>
    <t/>
  </si>
  <si>
    <t>10001000 COUNTY COUNCIL</t>
  </si>
  <si>
    <t>10001010</t>
  </si>
  <si>
    <t>10001010 AUDITOR</t>
  </si>
  <si>
    <t>10001020</t>
  </si>
  <si>
    <t>10001020 TREASURER</t>
  </si>
  <si>
    <t>10001030</t>
  </si>
  <si>
    <t>10001030 CLERK OF COURT</t>
  </si>
  <si>
    <t>10001031</t>
  </si>
  <si>
    <t>10001031 FAMILY COURT</t>
  </si>
  <si>
    <t>10001040</t>
  </si>
  <si>
    <t>10001040 PROBATE COURT</t>
  </si>
  <si>
    <t>10001060</t>
  </si>
  <si>
    <t>10001060 CORONER</t>
  </si>
  <si>
    <t>10001070</t>
  </si>
  <si>
    <t>10001070 LEGISLATIVE DELEGATIO</t>
  </si>
  <si>
    <t>10001081</t>
  </si>
  <si>
    <t>10001081 BEAUFORT MAGISTRATE</t>
  </si>
  <si>
    <t>10001090</t>
  </si>
  <si>
    <t>10001090 MASTER IN EQUITY</t>
  </si>
  <si>
    <t>10001098</t>
  </si>
  <si>
    <t>10001098 14TH CIRCUIT SOLICITO</t>
  </si>
  <si>
    <t>10001100</t>
  </si>
  <si>
    <t>10001100 COUNTY ADMINISTRATOR</t>
  </si>
  <si>
    <t>10001101</t>
  </si>
  <si>
    <t>10001101 COMMUNICATIONS AND AC</t>
  </si>
  <si>
    <t>10001102</t>
  </si>
  <si>
    <t>10001102 BROADCAST SERVICES</t>
  </si>
  <si>
    <t>10001103</t>
  </si>
  <si>
    <t>10001103 COUNTY ATTORNEY</t>
  </si>
  <si>
    <t>10001111</t>
  </si>
  <si>
    <t>10001111 FINANCE DEPARTMENT</t>
  </si>
  <si>
    <t>10001115</t>
  </si>
  <si>
    <t>10001115 RISK MANAGEMENT</t>
  </si>
  <si>
    <t>10001116</t>
  </si>
  <si>
    <t>10001116 PURCHASING</t>
  </si>
  <si>
    <t>10001120</t>
  </si>
  <si>
    <t>10001120 ASSESSOR</t>
  </si>
  <si>
    <t>10001122</t>
  </si>
  <si>
    <t>10001122 REGISTER OF DEEDS</t>
  </si>
  <si>
    <t>10001130</t>
  </si>
  <si>
    <t>10001130 COMMUNITY DEVELOPMENT</t>
  </si>
  <si>
    <t>10001134</t>
  </si>
  <si>
    <t>10001143</t>
  </si>
  <si>
    <t>10001143 VOTER REGISTRATION /</t>
  </si>
  <si>
    <t>10001150</t>
  </si>
  <si>
    <t>10001150 MANAGEMENT INFORMATIO</t>
  </si>
  <si>
    <t>10001152</t>
  </si>
  <si>
    <t>10001152 MAPPING &amp; APPLICATION</t>
  </si>
  <si>
    <t>10001154</t>
  </si>
  <si>
    <t>10001154 RECORDS MANAGEMENT</t>
  </si>
  <si>
    <t>10001160</t>
  </si>
  <si>
    <t>10001160 HUMAN RESOURCES</t>
  </si>
  <si>
    <t>10001198</t>
  </si>
  <si>
    <t>10001198 GEN GOVT DIRECT SUBSI</t>
  </si>
  <si>
    <t>10001199</t>
  </si>
  <si>
    <t>10001201</t>
  </si>
  <si>
    <t>10001230</t>
  </si>
  <si>
    <t>10001230 EMERGENCY MEDICAL SER</t>
  </si>
  <si>
    <t>10001241</t>
  </si>
  <si>
    <t>10001250</t>
  </si>
  <si>
    <t>10001250 DETENTION CENTER</t>
  </si>
  <si>
    <t>10001260</t>
  </si>
  <si>
    <t>10001260 BUILDING CODES</t>
  </si>
  <si>
    <t>10001270</t>
  </si>
  <si>
    <t>10001270 ANIMAL SERVICES</t>
  </si>
  <si>
    <t>10001301</t>
  </si>
  <si>
    <t>10001301 PUBLIC WORKS GEN SUPP</t>
  </si>
  <si>
    <t>10001310</t>
  </si>
  <si>
    <t>10001310 FACILITIES MANAGEMENT</t>
  </si>
  <si>
    <t>10001330</t>
  </si>
  <si>
    <t>10001400</t>
  </si>
  <si>
    <t>10001400 MOSQUITO CONTROL</t>
  </si>
  <si>
    <t>10001500</t>
  </si>
  <si>
    <t>10001500 VETERANS AFFAIRS</t>
  </si>
  <si>
    <t>10001598</t>
  </si>
  <si>
    <t>10001598 PUB WELFARE DIRECT SU</t>
  </si>
  <si>
    <t>10001600</t>
  </si>
  <si>
    <t>10001600 PAR CENTRAL ADMINISTR</t>
  </si>
  <si>
    <t>10001604</t>
  </si>
  <si>
    <t>10001604 PAR ATHLETIC PROGRAMS</t>
  </si>
  <si>
    <t>10001620</t>
  </si>
  <si>
    <t>10001620 LIBRARY ADMINISTRATIO</t>
  </si>
  <si>
    <t>10001999</t>
  </si>
  <si>
    <t>10001999 GENERAL FUND XFERS OU</t>
  </si>
  <si>
    <t>Revenue Total</t>
  </si>
  <si>
    <t>Expense Total</t>
  </si>
  <si>
    <t>Grand Total</t>
  </si>
  <si>
    <t xml:space="preserve">Magistrate's Court </t>
  </si>
  <si>
    <t>Clerk of Court and Family Court</t>
  </si>
  <si>
    <t xml:space="preserve">Treasurer </t>
  </si>
  <si>
    <t>Solicitor</t>
  </si>
  <si>
    <t>Probate Court</t>
  </si>
  <si>
    <t>County Council</t>
  </si>
  <si>
    <t>Auditor</t>
  </si>
  <si>
    <t>Coroner</t>
  </si>
  <si>
    <t>Master in Equity</t>
  </si>
  <si>
    <t>County Administrator</t>
  </si>
  <si>
    <t>Communications &amp; accountability</t>
  </si>
  <si>
    <t>Broadcast services</t>
  </si>
  <si>
    <t>County Attorney</t>
  </si>
  <si>
    <t>Finance</t>
  </si>
  <si>
    <t>Risk management</t>
  </si>
  <si>
    <t>Purchasing</t>
  </si>
  <si>
    <t>Assessor</t>
  </si>
  <si>
    <t>Register of deeds</t>
  </si>
  <si>
    <t>Business license</t>
  </si>
  <si>
    <t>Voter registration and elections</t>
  </si>
  <si>
    <t>Management &amp; Geographical information systems</t>
  </si>
  <si>
    <t>Records Management</t>
  </si>
  <si>
    <t xml:space="preserve">Employee services </t>
  </si>
  <si>
    <t>Nondepartmental</t>
  </si>
  <si>
    <t>General Government</t>
  </si>
  <si>
    <t>Public Safety</t>
  </si>
  <si>
    <t>Approved</t>
  </si>
  <si>
    <t xml:space="preserve">Budget </t>
  </si>
  <si>
    <t>Actual</t>
  </si>
  <si>
    <t>Variances</t>
  </si>
  <si>
    <t>Sheriff's office</t>
  </si>
  <si>
    <t>Traffic and transportation engineering</t>
  </si>
  <si>
    <t>Detention Center</t>
  </si>
  <si>
    <t>Animal services</t>
  </si>
  <si>
    <t>Public works general support</t>
  </si>
  <si>
    <t>Facilities maintenance</t>
  </si>
  <si>
    <t>Public Health</t>
  </si>
  <si>
    <t>Mosquito control</t>
  </si>
  <si>
    <t>Medical indigent act contributions</t>
  </si>
  <si>
    <t>Public Welfare Services</t>
  </si>
  <si>
    <t>Veteran's affairs office</t>
  </si>
  <si>
    <t>Human services alliance</t>
  </si>
  <si>
    <t>Libraries</t>
  </si>
  <si>
    <t>Education allocation</t>
  </si>
  <si>
    <t>Revised</t>
  </si>
  <si>
    <t>Beaufort County</t>
  </si>
  <si>
    <t>Legislative Delegation</t>
  </si>
  <si>
    <t>Community planning and development</t>
  </si>
  <si>
    <t>EMS Emergency Medical Service</t>
  </si>
  <si>
    <t>Building and codes enforcement</t>
  </si>
  <si>
    <t>Public Works</t>
  </si>
  <si>
    <t xml:space="preserve"> </t>
  </si>
  <si>
    <t>10000001</t>
  </si>
  <si>
    <t>41010</t>
  </si>
  <si>
    <t>1000-10-0001-000-00000-41010</t>
  </si>
  <si>
    <t>CURRENT TAXES</t>
  </si>
  <si>
    <t>R</t>
  </si>
  <si>
    <t>*</t>
  </si>
  <si>
    <t>41020</t>
  </si>
  <si>
    <t>1000-10-0001-000-00000-41020</t>
  </si>
  <si>
    <t>DELINQUENT TAXES</t>
  </si>
  <si>
    <t>41030</t>
  </si>
  <si>
    <t>1000-10-0001-000-00000-41030</t>
  </si>
  <si>
    <t>AUTOMOBILE TAXES</t>
  </si>
  <si>
    <t>41040</t>
  </si>
  <si>
    <t>1000-10-0001-000-00000-41040</t>
  </si>
  <si>
    <t>3% &amp; 7% PENALTIES ON TAX</t>
  </si>
  <si>
    <t>41050</t>
  </si>
  <si>
    <t>1000-10-0001-000-00000-41050</t>
  </si>
  <si>
    <t>5% PENALTIES ON TAXES</t>
  </si>
  <si>
    <t>42010</t>
  </si>
  <si>
    <t>1000-10-0001-000-00000-42010</t>
  </si>
  <si>
    <t>BUILDING PERMITS</t>
  </si>
  <si>
    <t>42030</t>
  </si>
  <si>
    <t>1000-10-0001-000-00000-42030</t>
  </si>
  <si>
    <t>MOBILE HOME PERMITS</t>
  </si>
  <si>
    <t>42040</t>
  </si>
  <si>
    <t>1000-10-0001-000-00000-42040</t>
  </si>
  <si>
    <t>MARRIAGE LICENSES</t>
  </si>
  <si>
    <t>42200</t>
  </si>
  <si>
    <t>1000-10-0001-000-00000-42200</t>
  </si>
  <si>
    <t>CABLE TV FRANCHISES</t>
  </si>
  <si>
    <t>42300</t>
  </si>
  <si>
    <t>1000-10-0001-000-00000-42300</t>
  </si>
  <si>
    <t>BUSINESS LICENSE</t>
  </si>
  <si>
    <t>42310</t>
  </si>
  <si>
    <t>1000-10-0001-000-00000-42310</t>
  </si>
  <si>
    <t>ALCOHOL BEVERAGE LICENSE</t>
  </si>
  <si>
    <t>43010</t>
  </si>
  <si>
    <t>1000-10-0001-000-00000-43010</t>
  </si>
  <si>
    <t>STATE AID TO SUBDIVISIONS</t>
  </si>
  <si>
    <t>43015</t>
  </si>
  <si>
    <t>1000-10-0001-000-00000-43015</t>
  </si>
  <si>
    <t>HOMESTEAD EXEMPTION, ETC</t>
  </si>
  <si>
    <t>43020</t>
  </si>
  <si>
    <t>1000-10-0001-000-00000-43020</t>
  </si>
  <si>
    <t>MERCHANTS INVENTORY TAX</t>
  </si>
  <si>
    <t>43021</t>
  </si>
  <si>
    <t>1000-10-0001-000-00000-43021</t>
  </si>
  <si>
    <t>MANUFACTURER TAX EXEMPT PROGRM</t>
  </si>
  <si>
    <t>43022</t>
  </si>
  <si>
    <t>1000-10-0001-000-00000-43022</t>
  </si>
  <si>
    <t>MOTOR CARRIER PAYMENTS</t>
  </si>
  <si>
    <t>43040</t>
  </si>
  <si>
    <t>1000-10-0001-000-00000-43040</t>
  </si>
  <si>
    <t>PAYMENTS IN LIEU OF TAXES</t>
  </si>
  <si>
    <t>43041</t>
  </si>
  <si>
    <t>1000-10-0001-000-00000-43041</t>
  </si>
  <si>
    <t>PYMT IN LIEU OF - FEDERAL</t>
  </si>
  <si>
    <t>43051</t>
  </si>
  <si>
    <t>1000-10-0001-000-00000-43051</t>
  </si>
  <si>
    <t>LOCAL ASSESSMENT FEE- UBER</t>
  </si>
  <si>
    <t>43200</t>
  </si>
  <si>
    <t>1000-10-0001-000-00000-43200</t>
  </si>
  <si>
    <t>VETERANS OFFICER STIPEND</t>
  </si>
  <si>
    <t>43230</t>
  </si>
  <si>
    <t>1000-10-0001-000-00000-43230</t>
  </si>
  <si>
    <t>VOTER  REG/ELEC STIPENDS</t>
  </si>
  <si>
    <t>43250</t>
  </si>
  <si>
    <t>1000-10-0001-000-00000-43250</t>
  </si>
  <si>
    <t>SALARY SUP'LMTS FR STATE</t>
  </si>
  <si>
    <t>43290</t>
  </si>
  <si>
    <t>1000-10-0001-000-00000-43290</t>
  </si>
  <si>
    <t>POLL'TN CNTRL PEN FR STAT</t>
  </si>
  <si>
    <t>44010</t>
  </si>
  <si>
    <t>1000-10-0001-000-00000-44010</t>
  </si>
  <si>
    <t>3% COMM ON DOC STAMPS RMC</t>
  </si>
  <si>
    <t>44020</t>
  </si>
  <si>
    <t>1000-10-0001-000-00000-44020</t>
  </si>
  <si>
    <t>COUNTY RECORDING FEES-RMC</t>
  </si>
  <si>
    <t>44030</t>
  </si>
  <si>
    <t>1000-10-0001-000-00000-44030</t>
  </si>
  <si>
    <t>COUNTY STAMP FEES-RMC</t>
  </si>
  <si>
    <t>44040</t>
  </si>
  <si>
    <t>1000-10-0001-000-00000-44040</t>
  </si>
  <si>
    <t>COLLECT CO XFER FEES-RMC</t>
  </si>
  <si>
    <t>44100</t>
  </si>
  <si>
    <t>1000-10-0001-000-00000-44100</t>
  </si>
  <si>
    <t>SHERIFF'S FEES</t>
  </si>
  <si>
    <t>44110</t>
  </si>
  <si>
    <t>1000-10-0001-000-00000-44110</t>
  </si>
  <si>
    <t>PROBATE FEES</t>
  </si>
  <si>
    <t>44120</t>
  </si>
  <si>
    <t>1000-10-0001-000-00000-44120</t>
  </si>
  <si>
    <t>PROBATE ADVERTISIING FEES</t>
  </si>
  <si>
    <t>44130</t>
  </si>
  <si>
    <t>1000-10-0001-000-00000-44130</t>
  </si>
  <si>
    <t>PROBATE COPY FEES</t>
  </si>
  <si>
    <t>4414A</t>
  </si>
  <si>
    <t>1000-10-0001-000-00000-4414A</t>
  </si>
  <si>
    <t>BFT MAGISTRATE CIVIL FEES</t>
  </si>
  <si>
    <t>4414B</t>
  </si>
  <si>
    <t>1000-10-0001-000-00000-4414B</t>
  </si>
  <si>
    <t>BLF MAGISTRATE CIVIL FEES</t>
  </si>
  <si>
    <t>44150</t>
  </si>
  <si>
    <t>1000-10-0001-000-00000-44150</t>
  </si>
  <si>
    <t>CLERK OF CT FILING FEES</t>
  </si>
  <si>
    <t>44160</t>
  </si>
  <si>
    <t>1000-10-0001-000-00000-44160</t>
  </si>
  <si>
    <t>CLERK OF CT COPY FEES</t>
  </si>
  <si>
    <t>44170</t>
  </si>
  <si>
    <t>1000-10-0001-000-00000-44170</t>
  </si>
  <si>
    <t>FAMILY COURT FEES</t>
  </si>
  <si>
    <t>44175</t>
  </si>
  <si>
    <t>1000-10-0001-000-00000-44175</t>
  </si>
  <si>
    <t>FAM CRT COST RECOV'RY FEE</t>
  </si>
  <si>
    <t>44180</t>
  </si>
  <si>
    <t>1000-10-0001-000-00000-44180</t>
  </si>
  <si>
    <t>FAMILY COURT COPY FEES</t>
  </si>
  <si>
    <t>44190</t>
  </si>
  <si>
    <t>1000-10-0001-000-00000-44190</t>
  </si>
  <si>
    <t>MASTER IN EQUITY FEES</t>
  </si>
  <si>
    <t>44200</t>
  </si>
  <si>
    <t>1000-10-0001-000-00000-44200</t>
  </si>
  <si>
    <t>TREASURER'S FEES</t>
  </si>
  <si>
    <t>44205</t>
  </si>
  <si>
    <t>1000-10-0001-000-00000-44205</t>
  </si>
  <si>
    <t>TREASURER'S MISC FEES</t>
  </si>
  <si>
    <t>44220</t>
  </si>
  <si>
    <t>1000-10-0001-000-00000-44220</t>
  </si>
  <si>
    <t>EMERGENCY MEDICAL FEES</t>
  </si>
  <si>
    <t>44225</t>
  </si>
  <si>
    <t>1000-10-0001-000-00000-44225</t>
  </si>
  <si>
    <t>EMS - COPY FEES</t>
  </si>
  <si>
    <t>44260</t>
  </si>
  <si>
    <t>1000-10-0001-000-00000-44260</t>
  </si>
  <si>
    <t>D S O FEES</t>
  </si>
  <si>
    <t>44281</t>
  </si>
  <si>
    <t>1000-10-0001-000-00000-44281</t>
  </si>
  <si>
    <t>ANIMAL SHELTER ADMIN TICKETS</t>
  </si>
  <si>
    <t>44300</t>
  </si>
  <si>
    <t>1000-10-0001-000-00000-44300</t>
  </si>
  <si>
    <t>LIBRARY COPY FEES</t>
  </si>
  <si>
    <t>44360</t>
  </si>
  <si>
    <t>1000-10-0001-000-00000-44360</t>
  </si>
  <si>
    <t>COPY FEES-ALL OTHERS</t>
  </si>
  <si>
    <t>44370</t>
  </si>
  <si>
    <t>1000-10-0001-000-00000-44370</t>
  </si>
  <si>
    <t>REZONING APPLICATION FEES</t>
  </si>
  <si>
    <t>44375</t>
  </si>
  <si>
    <t>1000-10-0001-000-00000-44375</t>
  </si>
  <si>
    <t>CRB - APPLICATION FEES</t>
  </si>
  <si>
    <t>44720</t>
  </si>
  <si>
    <t>1000-10-0001-000-00000-44720</t>
  </si>
  <si>
    <t>TELEPHONE SRVS - OTHERS</t>
  </si>
  <si>
    <t>44760</t>
  </si>
  <si>
    <t>1000-10-0001-000-00000-44760</t>
  </si>
  <si>
    <t>PAYROLL SERVICES-OTHERS</t>
  </si>
  <si>
    <t>44782</t>
  </si>
  <si>
    <t>1000-10-0001-000-00000-44782</t>
  </si>
  <si>
    <t>CCARD CONVENIENCE FEES - OTHER</t>
  </si>
  <si>
    <t>10000604</t>
  </si>
  <si>
    <t>45010</t>
  </si>
  <si>
    <t>1000-10-0001-000-00000-45010</t>
  </si>
  <si>
    <t>GENERAL SESSIONS FINES</t>
  </si>
  <si>
    <t>45020</t>
  </si>
  <si>
    <t>1000-10-0001-000-00000-45020</t>
  </si>
  <si>
    <t>DRUG FINES - GEN SESSIONS</t>
  </si>
  <si>
    <t>45100</t>
  </si>
  <si>
    <t>1000-10-0001-000-00000-45100</t>
  </si>
  <si>
    <t>HH MAGISTRATE FINES</t>
  </si>
  <si>
    <t>4510A</t>
  </si>
  <si>
    <t>1000-10-0001-000-00000-4510A</t>
  </si>
  <si>
    <t>BEAUFORT MAGISTRATE FINES</t>
  </si>
  <si>
    <t>4510B</t>
  </si>
  <si>
    <t>1000-10-0001-000-00000-4510B</t>
  </si>
  <si>
    <t>BLUFFTON MAGISTRATE FINES</t>
  </si>
  <si>
    <t>45200</t>
  </si>
  <si>
    <t>1000-10-0001-000-00000-45200</t>
  </si>
  <si>
    <t>LIBRARY FINES</t>
  </si>
  <si>
    <t>45600</t>
  </si>
  <si>
    <t>1000-10-0001-000-00000-45600</t>
  </si>
  <si>
    <t>LATE PENALTIES - BUS LICENSE</t>
  </si>
  <si>
    <t>46010</t>
  </si>
  <si>
    <t>1000-10-0001-000-00000-46010</t>
  </si>
  <si>
    <t>INTEREST ON INVESTMENTS</t>
  </si>
  <si>
    <t>47010</t>
  </si>
  <si>
    <t>1000-10-0001-000-00000-47010</t>
  </si>
  <si>
    <t>MISCELLANEOUS REVENUES</t>
  </si>
  <si>
    <t>47012</t>
  </si>
  <si>
    <t>1000-10-0001-000-00000-47012</t>
  </si>
  <si>
    <t>CREDIT CARD REBATE</t>
  </si>
  <si>
    <t>47210</t>
  </si>
  <si>
    <t>1000-10-0001-000-00000-47210</t>
  </si>
  <si>
    <t>RENTAL CO PROP - OTHERS</t>
  </si>
  <si>
    <t>47400</t>
  </si>
  <si>
    <t>1000-10-0001-000-00000-47400</t>
  </si>
  <si>
    <t>SALE OF COUNTY PROPERTY</t>
  </si>
  <si>
    <t>47800</t>
  </si>
  <si>
    <t>1000-10-0001-000-00000-47800</t>
  </si>
  <si>
    <t>CASH OVER/-SHORT</t>
  </si>
  <si>
    <t>Current taxes</t>
  </si>
  <si>
    <t>Automobile tax penalty</t>
  </si>
  <si>
    <t>3% &amp; 7% penalties on tax</t>
  </si>
  <si>
    <t>5% penalties on tax</t>
  </si>
  <si>
    <t>Building permits</t>
  </si>
  <si>
    <t>Electricians' licenses</t>
  </si>
  <si>
    <t>Mobile home permits</t>
  </si>
  <si>
    <t>Marriage licenses</t>
  </si>
  <si>
    <t>Cable television franchises</t>
  </si>
  <si>
    <t>Alcohol beverage license</t>
  </si>
  <si>
    <t xml:space="preserve">Intergovernmental </t>
  </si>
  <si>
    <t>State aid to subdivisions</t>
  </si>
  <si>
    <t>Homestead exemption</t>
  </si>
  <si>
    <t>Merchants inventory tax</t>
  </si>
  <si>
    <t>Motor carrier payments</t>
  </si>
  <si>
    <t>Payments in lieu of taxes</t>
  </si>
  <si>
    <t>Payments in lieu of taxes - federal</t>
  </si>
  <si>
    <t>Local assessment fee UBER</t>
  </si>
  <si>
    <t>Veteran's Officer stipend</t>
  </si>
  <si>
    <t>Voter regulation and election stipends</t>
  </si>
  <si>
    <t>Voter regulation and election reimbursements</t>
  </si>
  <si>
    <t>Salary supplements for state</t>
  </si>
  <si>
    <t>Poll</t>
  </si>
  <si>
    <t xml:space="preserve">SCEMD (FEMA MATCH) grant </t>
  </si>
  <si>
    <t xml:space="preserve">FEMA grant </t>
  </si>
  <si>
    <t>CARES grant</t>
  </si>
  <si>
    <t>Charges for services</t>
  </si>
  <si>
    <t>Register of Deeds</t>
  </si>
  <si>
    <t>Sheriff's fees</t>
  </si>
  <si>
    <t>Probate fees</t>
  </si>
  <si>
    <t>Solicitor fees</t>
  </si>
  <si>
    <t>Magistrate fees</t>
  </si>
  <si>
    <t>Clerk of Court fees</t>
  </si>
  <si>
    <t>Family Court fees</t>
  </si>
  <si>
    <t>Master in Equity fees</t>
  </si>
  <si>
    <t>Treasurer fees</t>
  </si>
  <si>
    <t>Emergency Medical Service Fees</t>
  </si>
  <si>
    <t>DSO fees</t>
  </si>
  <si>
    <t>Animal Shelter fees</t>
  </si>
  <si>
    <t>Library copy fees</t>
  </si>
  <si>
    <t>Other fees</t>
  </si>
  <si>
    <t>Video Production</t>
  </si>
  <si>
    <t>Telephone services others</t>
  </si>
  <si>
    <t>Hilton Head Island holding facilities</t>
  </si>
  <si>
    <t>Payroll services to Fire Departments</t>
  </si>
  <si>
    <t>Credit card convenience fees</t>
  </si>
  <si>
    <t>Parks and recreation fees</t>
  </si>
  <si>
    <t>Fines and forfeitures</t>
  </si>
  <si>
    <t>General Sessions fines</t>
  </si>
  <si>
    <t>Magistrate fines</t>
  </si>
  <si>
    <t>Other fines</t>
  </si>
  <si>
    <t>Library fines</t>
  </si>
  <si>
    <t>Forfeiture</t>
  </si>
  <si>
    <t>Late penalties - Business Services</t>
  </si>
  <si>
    <t>Interest</t>
  </si>
  <si>
    <t>Miscellaneous revenues</t>
  </si>
  <si>
    <t>Rental of property to others</t>
  </si>
  <si>
    <t xml:space="preserve">Sale of County property </t>
  </si>
  <si>
    <t>Transfers in</t>
  </si>
  <si>
    <t>Transfer from State Accommodations tax</t>
  </si>
  <si>
    <t>Transfer from Hospitality tax fund</t>
  </si>
  <si>
    <t>Executive Summary of Revenues and Expenditures</t>
  </si>
  <si>
    <t>Function</t>
  </si>
  <si>
    <t>Budget</t>
  </si>
  <si>
    <t>% Received</t>
  </si>
  <si>
    <t>% Year Completed</t>
  </si>
  <si>
    <t>Ad Valorem taxes</t>
  </si>
  <si>
    <t xml:space="preserve">Licenses &amp; permits </t>
  </si>
  <si>
    <t xml:space="preserve">To Date </t>
  </si>
  <si>
    <t xml:space="preserve">Public Health </t>
  </si>
  <si>
    <t>Culture &amp; Recreation</t>
  </si>
  <si>
    <t>Other</t>
  </si>
  <si>
    <t>Public welfare</t>
  </si>
  <si>
    <t xml:space="preserve">Revenue Analysis </t>
  </si>
  <si>
    <t>Expense Analysis</t>
  </si>
  <si>
    <t>General Fund Revenues</t>
  </si>
  <si>
    <t>Percent of Year Completed:</t>
  </si>
  <si>
    <t>Percent of Total Budget Collected:</t>
  </si>
  <si>
    <t>Revenue Collected to Date:</t>
  </si>
  <si>
    <t>Expected</t>
  </si>
  <si>
    <t>budget</t>
  </si>
  <si>
    <t>For revenues with variances over 5% of the year completed, a brief explanation is provided below:</t>
  </si>
  <si>
    <t>General Fund Expenditures</t>
  </si>
  <si>
    <t>For expenditures with variances over 5% of the year completed, a brief explanation is provided below:</t>
  </si>
  <si>
    <t>ytd exp</t>
  </si>
  <si>
    <t>encumbrances</t>
  </si>
  <si>
    <t>YTD Revenues</t>
  </si>
  <si>
    <t>YTD Enc</t>
  </si>
  <si>
    <t>Percent of Total Budget Expended:</t>
  </si>
  <si>
    <t>Detail of Revenues - General Fund</t>
  </si>
  <si>
    <t>Total Ad Valorem taxes</t>
  </si>
  <si>
    <t>Delinquent taxes</t>
  </si>
  <si>
    <t>Sherriff copper permits</t>
  </si>
  <si>
    <t>Manufacturer tax exempt program</t>
  </si>
  <si>
    <t>Total licenses and permits</t>
  </si>
  <si>
    <t xml:space="preserve">Total intergovernmental </t>
  </si>
  <si>
    <t>Total charges for services</t>
  </si>
  <si>
    <t>Total fines and forfeitures</t>
  </si>
  <si>
    <t>Total miscellaneous revenues</t>
  </si>
  <si>
    <t>Total transfers in</t>
  </si>
  <si>
    <t>Total revenues General Fund</t>
  </si>
  <si>
    <t>Detail of Expenditures - General Fund</t>
  </si>
  <si>
    <t>Total Public Safety</t>
  </si>
  <si>
    <t>Total General Government</t>
  </si>
  <si>
    <t>Total Public Works</t>
  </si>
  <si>
    <t>Total Public Health</t>
  </si>
  <si>
    <t>Total Public Welfare Services</t>
  </si>
  <si>
    <t>Cultural and Recreational</t>
  </si>
  <si>
    <t>Total Cultural and Recreational</t>
  </si>
  <si>
    <t>44735</t>
  </si>
  <si>
    <t>1000-10-0001-000-00000-44735</t>
  </si>
  <si>
    <t>DETENTION CENTER DAYWATCH</t>
  </si>
  <si>
    <t>49200</t>
  </si>
  <si>
    <t>1000-10-0001-000-00000-49200</t>
  </si>
  <si>
    <t>Transfers In</t>
  </si>
  <si>
    <t>Detention Center Daywatch</t>
  </si>
  <si>
    <t>Transfers in other funds</t>
  </si>
  <si>
    <t>Fines &amp; forfeitures</t>
  </si>
  <si>
    <t>10001134 Business Services</t>
  </si>
  <si>
    <t>Automobile taxes</t>
  </si>
  <si>
    <t>Public Welfare</t>
  </si>
  <si>
    <t>Amendments and transfers:</t>
  </si>
  <si>
    <t>Budget carryover from FY 2021:</t>
  </si>
  <si>
    <t>Project income</t>
  </si>
  <si>
    <t>Business services</t>
  </si>
  <si>
    <t xml:space="preserve">OBJECT                        </t>
  </si>
  <si>
    <t>Parks and recreation services</t>
  </si>
  <si>
    <t>10000600</t>
  </si>
  <si>
    <t>49201</t>
  </si>
  <si>
    <t>1000-10-0001-000-00000-49201</t>
  </si>
  <si>
    <t>XFER FM ACCOMODATIONS TAX FUND</t>
  </si>
  <si>
    <t>Budget FY 2023:</t>
  </si>
  <si>
    <t>Total revised budget FY 2023:</t>
  </si>
  <si>
    <t>2022 exp</t>
  </si>
  <si>
    <t>Fines and forfeitures - currently lagging should improve as year progresses.</t>
  </si>
  <si>
    <t>%</t>
  </si>
  <si>
    <t>44330</t>
  </si>
  <si>
    <t>1000-10-0001-000-00000-44330</t>
  </si>
  <si>
    <t>PLANNING - VARIOUS SALES</t>
  </si>
  <si>
    <t>44781</t>
  </si>
  <si>
    <t>1000-10-0001-000-00000-44781</t>
  </si>
  <si>
    <t>CCARD CONVENIENCE FEES - PALS</t>
  </si>
  <si>
    <t>46100</t>
  </si>
  <si>
    <t>1000-10-0001-000-00000-46100</t>
  </si>
  <si>
    <t>INTEREST INCOME</t>
  </si>
  <si>
    <t>46200</t>
  </si>
  <si>
    <t>1000-10-0001-000-00000-46200</t>
  </si>
  <si>
    <t>INTEREST INC - OTHER DEPT</t>
  </si>
  <si>
    <t>10000600 PAR - NORTH</t>
  </si>
  <si>
    <t>10000604 PAR - SOUTH</t>
  </si>
  <si>
    <t>10001243</t>
  </si>
  <si>
    <t>Remaining budget FY 2023</t>
  </si>
  <si>
    <t>43400</t>
  </si>
  <si>
    <t>1000-10-0001-000-00000-43400</t>
  </si>
  <si>
    <t>STATE AID CHILD/CORONER</t>
  </si>
  <si>
    <t>44140</t>
  </si>
  <si>
    <t>1000-10-0001-000-00000-44140</t>
  </si>
  <si>
    <t>MAGISTRATE CIVIL FEES</t>
  </si>
  <si>
    <t>49100</t>
  </si>
  <si>
    <t>1000-10-0001-000-00000-49100</t>
  </si>
  <si>
    <t>State aid child/ coroner</t>
  </si>
  <si>
    <t xml:space="preserve">Emergency Management - Disaster </t>
  </si>
  <si>
    <t>Contribution prior year fund balance</t>
  </si>
  <si>
    <t xml:space="preserve">Other </t>
  </si>
  <si>
    <t>Economic Development</t>
  </si>
  <si>
    <t>Transfer of General Fund Balance to Capital Improvement fund</t>
  </si>
  <si>
    <t>Interest Income - increasing interest rates are reflected in earnings.</t>
  </si>
  <si>
    <t>Revenue Collected Under Budget:</t>
  </si>
  <si>
    <t>Revised budget FY 2023:</t>
  </si>
  <si>
    <t>Miscellaneous revenues/ Cont Fund Balance</t>
  </si>
  <si>
    <t>Miscellaneous - includes contribution of prior year fund balance.</t>
  </si>
  <si>
    <t>42060</t>
  </si>
  <si>
    <t>1000-10-0001-000-00000-42060</t>
  </si>
  <si>
    <t>SHERIFF COPPER PERMITS</t>
  </si>
  <si>
    <t>10001243 ENGINEERING</t>
  </si>
  <si>
    <t>10001330 CAPITAL IMPROVEMENTS</t>
  </si>
  <si>
    <t>TRANSFERS IN</t>
  </si>
  <si>
    <t>Cremation</t>
  </si>
  <si>
    <t xml:space="preserve">Spent and </t>
  </si>
  <si>
    <t>Encumbered</t>
  </si>
  <si>
    <t>Encumbrances</t>
  </si>
  <si>
    <t>Actual Expenditures</t>
  </si>
  <si>
    <t>Personnel services</t>
  </si>
  <si>
    <t>Purchased services</t>
  </si>
  <si>
    <t>Supplies</t>
  </si>
  <si>
    <t>Capital outlay</t>
  </si>
  <si>
    <t>Subsidies to others</t>
  </si>
  <si>
    <t>Contingencies</t>
  </si>
  <si>
    <t>Transfers</t>
  </si>
  <si>
    <t>Other expenditures</t>
  </si>
  <si>
    <t>10001241 TRAFFIC OPERATIONS</t>
  </si>
  <si>
    <t>Bonds escheatment</t>
  </si>
  <si>
    <t>47410</t>
  </si>
  <si>
    <t>1000-10-0001-000-00000-47410</t>
  </si>
  <si>
    <t>SALE OF RECYCLABLES</t>
  </si>
  <si>
    <t>CIP</t>
  </si>
  <si>
    <t>10001199 NON DEPARTMENTAL</t>
  </si>
  <si>
    <t>Total expenditures General Fund</t>
  </si>
  <si>
    <t>Net surplus</t>
  </si>
  <si>
    <t xml:space="preserve">Percentage of </t>
  </si>
  <si>
    <t>Budget Used</t>
  </si>
  <si>
    <t xml:space="preserve">Estimated surplus </t>
  </si>
  <si>
    <t>Based on percent</t>
  </si>
  <si>
    <t>Used YTD</t>
  </si>
  <si>
    <t xml:space="preserve">Analysis of Budget versus Expenditures Year to Date </t>
  </si>
  <si>
    <t>Year to Date</t>
  </si>
  <si>
    <t>Surplus/</t>
  </si>
  <si>
    <t>Deficit</t>
  </si>
  <si>
    <t>FOR DISCUSSION PURPOSES ONLY</t>
  </si>
  <si>
    <t xml:space="preserve">Ad Valorem taxes - above budgeted projections exceeding expectations.  </t>
  </si>
  <si>
    <t>Licenses and permits - above budget projections exceeding expectations</t>
  </si>
  <si>
    <t xml:space="preserve">Intergovernmental - currently lagging, should adjust by year end after the state aid to subdivisions is received. </t>
  </si>
  <si>
    <t>Land purchase Cooler Tract</t>
  </si>
  <si>
    <t>Land purchase 2 Mullet Street</t>
  </si>
  <si>
    <t>Uses of fund balance</t>
  </si>
  <si>
    <t>Total operating expenditures</t>
  </si>
  <si>
    <t>General Government - departments are lagging behind budgeted amounts. Significant surpluses expected.</t>
  </si>
  <si>
    <t>Public Safety - departments are lagging behind budgeted amounts. Significant surpluses expected.</t>
  </si>
  <si>
    <t>Public Works - departments are lagging behind budgeted amounts. Significant surpluses expected.</t>
  </si>
  <si>
    <t>Public Welfare - departments are lagging behind budgeted amounts. Significant surpluses expected.</t>
  </si>
  <si>
    <t>Culture &amp; Recreation - departments are lagging behind budgeted amounts. Significant surpluses expected.</t>
  </si>
  <si>
    <t>43410</t>
  </si>
  <si>
    <t>1000-10-0001-000-00000-43410</t>
  </si>
  <si>
    <t>FEMA GRANT REVENUES</t>
  </si>
  <si>
    <t>10001162</t>
  </si>
  <si>
    <t>10001162 COUNTY WELLNESS</t>
  </si>
  <si>
    <t>10001610</t>
  </si>
  <si>
    <t>10001610 PASSIVE PARKS</t>
  </si>
  <si>
    <t>Wellness Program</t>
  </si>
  <si>
    <t>Passive Parks</t>
  </si>
  <si>
    <t>10001201 SHERIFF</t>
  </si>
  <si>
    <t>10001698 OUTSIDE PAYMENTS</t>
  </si>
  <si>
    <t>10001211 EM OP/DISASTER</t>
  </si>
  <si>
    <t>Through June 30, 2023</t>
  </si>
  <si>
    <t>For the Period Ending June 30, 2023</t>
  </si>
  <si>
    <t>ORIGINAL ESTIM REV</t>
  </si>
  <si>
    <t>REVISED ESTIM REV</t>
  </si>
  <si>
    <t>ACTUAL YTD REVENUE</t>
  </si>
  <si>
    <t>% COLL</t>
  </si>
  <si>
    <t>ESTIM REV ADJ</t>
  </si>
  <si>
    <t>50020</t>
  </si>
  <si>
    <t>SALARIES A</t>
  </si>
  <si>
    <t>50060</t>
  </si>
  <si>
    <t>OVERTIME</t>
  </si>
  <si>
    <t>50100</t>
  </si>
  <si>
    <t>EMPLOYER F</t>
  </si>
  <si>
    <t>50110</t>
  </si>
  <si>
    <t>EMPLOYER M</t>
  </si>
  <si>
    <t>50120</t>
  </si>
  <si>
    <t>EMPLOYER S</t>
  </si>
  <si>
    <t>50130</t>
  </si>
  <si>
    <t>EMPLOYER P</t>
  </si>
  <si>
    <t>51000</t>
  </si>
  <si>
    <t>ADVERTISIN</t>
  </si>
  <si>
    <t>51010</t>
  </si>
  <si>
    <t>PRINTING</t>
  </si>
  <si>
    <t>51030</t>
  </si>
  <si>
    <t>POSTAGE</t>
  </si>
  <si>
    <t>51140</t>
  </si>
  <si>
    <t>EQUIP/RENT</t>
  </si>
  <si>
    <t>51160</t>
  </si>
  <si>
    <t>PROFESSION</t>
  </si>
  <si>
    <t>51162</t>
  </si>
  <si>
    <t>LEGAL</t>
  </si>
  <si>
    <t>51310</t>
  </si>
  <si>
    <t>DUES</t>
  </si>
  <si>
    <t>51320</t>
  </si>
  <si>
    <t>TRAINING</t>
  </si>
  <si>
    <t>51323</t>
  </si>
  <si>
    <t>MILEAGE</t>
  </si>
  <si>
    <t>52010</t>
  </si>
  <si>
    <t>SUPPLIES</t>
  </si>
  <si>
    <t>52612</t>
  </si>
  <si>
    <t>EQUIPMENT</t>
  </si>
  <si>
    <t>54400</t>
  </si>
  <si>
    <t>LAND ACQUI</t>
  </si>
  <si>
    <t>56000</t>
  </si>
  <si>
    <t>GENERAL CO</t>
  </si>
  <si>
    <t>COUNTY COUNCIL</t>
  </si>
  <si>
    <t>51300</t>
  </si>
  <si>
    <t>VEH MAINT.</t>
  </si>
  <si>
    <t>AUDITOR</t>
  </si>
  <si>
    <t>51110</t>
  </si>
  <si>
    <t>MAINTENANC</t>
  </si>
  <si>
    <t>51120</t>
  </si>
  <si>
    <t>EQUIPMAINT</t>
  </si>
  <si>
    <t>51540</t>
  </si>
  <si>
    <t>INSURANCE</t>
  </si>
  <si>
    <t>51989</t>
  </si>
  <si>
    <t>BANK FEES</t>
  </si>
  <si>
    <t>51990</t>
  </si>
  <si>
    <t>MISCEXP</t>
  </si>
  <si>
    <t>52600</t>
  </si>
  <si>
    <t>OFE-NONCAP</t>
  </si>
  <si>
    <t>54200</t>
  </si>
  <si>
    <t>CAP EQUIP</t>
  </si>
  <si>
    <t>57900</t>
  </si>
  <si>
    <t>CCARD FEES</t>
  </si>
  <si>
    <t>TREASURER</t>
  </si>
  <si>
    <t>51340</t>
  </si>
  <si>
    <t>JURORS/WIT</t>
  </si>
  <si>
    <t>CLERK OF COURT</t>
  </si>
  <si>
    <t>52610</t>
  </si>
  <si>
    <t>DP EQUIP</t>
  </si>
  <si>
    <t>57910</t>
  </si>
  <si>
    <t>FAMILY COURT</t>
  </si>
  <si>
    <t>51001</t>
  </si>
  <si>
    <t>ADV PROBAT</t>
  </si>
  <si>
    <t>PROBATE COURT</t>
  </si>
  <si>
    <t>51130</t>
  </si>
  <si>
    <t>REPAIRS TO</t>
  </si>
  <si>
    <t>52050</t>
  </si>
  <si>
    <t>UNIFORMS</t>
  </si>
  <si>
    <t>CORONER</t>
  </si>
  <si>
    <t>LEGISLATIVE DELEGATION</t>
  </si>
  <si>
    <t>52020</t>
  </si>
  <si>
    <t>DATA PRO</t>
  </si>
  <si>
    <t>MAGISTRATE</t>
  </si>
  <si>
    <t>MASTER IN EQUITY</t>
  </si>
  <si>
    <t>55000</t>
  </si>
  <si>
    <t>Direct Sub</t>
  </si>
  <si>
    <t>SOLICITOR</t>
  </si>
  <si>
    <t>51040</t>
  </si>
  <si>
    <t>LICENSES</t>
  </si>
  <si>
    <t>Equipment,</t>
  </si>
  <si>
    <t>ADMINISTRATOR</t>
  </si>
  <si>
    <t>COMMUNIC &amp; ACCT.</t>
  </si>
  <si>
    <t>50024</t>
  </si>
  <si>
    <t>SEASONAL</t>
  </si>
  <si>
    <t>BROADCAST SERVICES</t>
  </si>
  <si>
    <t>51170</t>
  </si>
  <si>
    <t>SERVICES</t>
  </si>
  <si>
    <t>COUNTY ATTORNEY</t>
  </si>
  <si>
    <t>FINANCE</t>
  </si>
  <si>
    <t>51500</t>
  </si>
  <si>
    <t>VEHICLE IN</t>
  </si>
  <si>
    <t>51510</t>
  </si>
  <si>
    <t>BLDG INS</t>
  </si>
  <si>
    <t>51520</t>
  </si>
  <si>
    <t>MED/PROF L</t>
  </si>
  <si>
    <t>51580</t>
  </si>
  <si>
    <t>GRBN WRKCM</t>
  </si>
  <si>
    <t>RISK MANAGEMENT</t>
  </si>
  <si>
    <t>PURCHASING</t>
  </si>
  <si>
    <t>51295</t>
  </si>
  <si>
    <t>OTHER VEHI</t>
  </si>
  <si>
    <t>ASSESSOR</t>
  </si>
  <si>
    <t>REGISTER OF DEEDS</t>
  </si>
  <si>
    <t>COMMUNITY DEVELOPMENT</t>
  </si>
  <si>
    <t>BUSINESS SERVICES</t>
  </si>
  <si>
    <t>50011</t>
  </si>
  <si>
    <t>STIPEND</t>
  </si>
  <si>
    <t>50022</t>
  </si>
  <si>
    <t>ELEC SAL</t>
  </si>
  <si>
    <t>52500</t>
  </si>
  <si>
    <t>FUELS/LUBR</t>
  </si>
  <si>
    <t>VOTER REGISTRATION</t>
  </si>
  <si>
    <t>51050</t>
  </si>
  <si>
    <t>TELEPHONE</t>
  </si>
  <si>
    <t xml:space="preserve">MIS  </t>
  </si>
  <si>
    <t>MAPPING/GIS</t>
  </si>
  <si>
    <t>RECORDS MGMT</t>
  </si>
  <si>
    <t>50500</t>
  </si>
  <si>
    <t>EMPLOYEE R</t>
  </si>
  <si>
    <t>52350</t>
  </si>
  <si>
    <t>AV/EDUC/TR</t>
  </si>
  <si>
    <t>54100</t>
  </si>
  <si>
    <t>OFFICE FUR</t>
  </si>
  <si>
    <t>HUMAN RESOURCES</t>
  </si>
  <si>
    <t>WELLNESS</t>
  </si>
  <si>
    <t>55200</t>
  </si>
  <si>
    <t>LRTA / PB</t>
  </si>
  <si>
    <t>55202</t>
  </si>
  <si>
    <t>MEC</t>
  </si>
  <si>
    <t>55203</t>
  </si>
  <si>
    <t>ISLANDREC</t>
  </si>
  <si>
    <t>55204</t>
  </si>
  <si>
    <t>BSWCD</t>
  </si>
  <si>
    <t>55210</t>
  </si>
  <si>
    <t>L C O G</t>
  </si>
  <si>
    <t>55212</t>
  </si>
  <si>
    <t>L C O G /W</t>
  </si>
  <si>
    <t>55215</t>
  </si>
  <si>
    <t>LCOG /HOME</t>
  </si>
  <si>
    <t>55240</t>
  </si>
  <si>
    <t>ECONOMIC D</t>
  </si>
  <si>
    <t>55250</t>
  </si>
  <si>
    <t>SMALL BUSI</t>
  </si>
  <si>
    <t>55255</t>
  </si>
  <si>
    <t>VETERANS A</t>
  </si>
  <si>
    <t>GEN GOVT DIRECT SUBSI.</t>
  </si>
  <si>
    <t>50140</t>
  </si>
  <si>
    <t>EMPLOYER G</t>
  </si>
  <si>
    <t>50170</t>
  </si>
  <si>
    <t>UNEMP INS</t>
  </si>
  <si>
    <t>NON-DEPARTMENTAL</t>
  </si>
  <si>
    <t>50080</t>
  </si>
  <si>
    <t>OT/TRAIN</t>
  </si>
  <si>
    <t>51060</t>
  </si>
  <si>
    <t>ELECTRICIT</t>
  </si>
  <si>
    <t>51070</t>
  </si>
  <si>
    <t>WATER/SEWE</t>
  </si>
  <si>
    <t>51121</t>
  </si>
  <si>
    <t>EqMnt-Avtn</t>
  </si>
  <si>
    <t>51150</t>
  </si>
  <si>
    <t>RENTALS</t>
  </si>
  <si>
    <t>51301</t>
  </si>
  <si>
    <t>INS REIMB</t>
  </si>
  <si>
    <t>51991</t>
  </si>
  <si>
    <t>K-9 UNIT</t>
  </si>
  <si>
    <t>51992</t>
  </si>
  <si>
    <t>SPECIAL RE</t>
  </si>
  <si>
    <t>54000</t>
  </si>
  <si>
    <t>VEHICLE PU</t>
  </si>
  <si>
    <t>54140</t>
  </si>
  <si>
    <t>COMMUNICAT</t>
  </si>
  <si>
    <t>54420</t>
  </si>
  <si>
    <t>RENOVATION</t>
  </si>
  <si>
    <t>SHERIFF</t>
  </si>
  <si>
    <t>10001211</t>
  </si>
  <si>
    <t>52030</t>
  </si>
  <si>
    <t>SANI.SUPPL</t>
  </si>
  <si>
    <t>52400</t>
  </si>
  <si>
    <t>OTHER SUPP</t>
  </si>
  <si>
    <t>EM OP/DISASTER</t>
  </si>
  <si>
    <t>EMS</t>
  </si>
  <si>
    <t>TRAFFIC &amp; ENGINEERING</t>
  </si>
  <si>
    <t>Employer F</t>
  </si>
  <si>
    <t>Employer M</t>
  </si>
  <si>
    <t>Employer S</t>
  </si>
  <si>
    <t>Printing</t>
  </si>
  <si>
    <t>Fuels &amp; Lu</t>
  </si>
  <si>
    <t>ENGINEERING</t>
  </si>
  <si>
    <t>51200</t>
  </si>
  <si>
    <t>MEALS/CONT</t>
  </si>
  <si>
    <t>DETENTION CENTER</t>
  </si>
  <si>
    <t>BUILDING CODES</t>
  </si>
  <si>
    <t>ANIMAL SERVICES</t>
  </si>
  <si>
    <t>PUBLIC WORKS</t>
  </si>
  <si>
    <t>51041</t>
  </si>
  <si>
    <t>SWU Fees</t>
  </si>
  <si>
    <t>51042</t>
  </si>
  <si>
    <t>HH POLICE</t>
  </si>
  <si>
    <t>51043</t>
  </si>
  <si>
    <t>TAX PYMTS</t>
  </si>
  <si>
    <t>BLDG/CONTE</t>
  </si>
  <si>
    <t>FACILTIES MAINT.</t>
  </si>
  <si>
    <t>CAPITAL IMPROVEMENTS</t>
  </si>
  <si>
    <t>10001498</t>
  </si>
  <si>
    <t>MOSQUITO</t>
  </si>
  <si>
    <t>VETERANS AFFAIRS</t>
  </si>
  <si>
    <t>55600</t>
  </si>
  <si>
    <t>TOGETHER F</t>
  </si>
  <si>
    <t>PUBLIC WELFARE</t>
  </si>
  <si>
    <t>OFFICE SPA</t>
  </si>
  <si>
    <t>51360</t>
  </si>
  <si>
    <t>ATHLETIC P</t>
  </si>
  <si>
    <t>51960</t>
  </si>
  <si>
    <t>RECREATION</t>
  </si>
  <si>
    <t>51961</t>
  </si>
  <si>
    <t>SENIORS</t>
  </si>
  <si>
    <t>PARKS &amp; REC NORTH</t>
  </si>
  <si>
    <t>PARKS &amp; REC SOUTH</t>
  </si>
  <si>
    <t>LIBRARY</t>
  </si>
  <si>
    <t>10001698</t>
  </si>
  <si>
    <t>55150</t>
  </si>
  <si>
    <t>PAYMENTS T</t>
  </si>
  <si>
    <t>OUTSIDE PAYMENTS</t>
  </si>
  <si>
    <t>51962</t>
  </si>
  <si>
    <t>SUMMER</t>
  </si>
  <si>
    <t>PARKS &amp; REC PROGRAMS</t>
  </si>
  <si>
    <t>59101</t>
  </si>
  <si>
    <t>XFER OUT</t>
  </si>
  <si>
    <t>59202</t>
  </si>
  <si>
    <t>XFER TO DA</t>
  </si>
  <si>
    <t>59273</t>
  </si>
  <si>
    <t>XFER TO SC</t>
  </si>
  <si>
    <t>59281</t>
  </si>
  <si>
    <t>XFER TO CO</t>
  </si>
  <si>
    <t>59510</t>
  </si>
  <si>
    <t>XFER TO GA</t>
  </si>
  <si>
    <t>59651</t>
  </si>
  <si>
    <t>XFER TO PU</t>
  </si>
  <si>
    <t>TRANSFERS</t>
  </si>
  <si>
    <t>41055</t>
  </si>
  <si>
    <t>1000-10-0001-000-00000-41055</t>
  </si>
  <si>
    <t>FILING PENALTY</t>
  </si>
  <si>
    <t>41065</t>
  </si>
  <si>
    <t>1000-10-0001-000-00000-41065</t>
  </si>
  <si>
    <t>AUTOMOBILE TAX PENALTY</t>
  </si>
  <si>
    <t>42020</t>
  </si>
  <si>
    <t>1000-10-0001-000-00000-42020</t>
  </si>
  <si>
    <t>ELECTRICIANS' LICENSES</t>
  </si>
  <si>
    <t>42050</t>
  </si>
  <si>
    <t>1000-10-0001-000-00000-42050</t>
  </si>
  <si>
    <t>ANIMAL LICENSES</t>
  </si>
  <si>
    <t>43023</t>
  </si>
  <si>
    <t>1000-10-0001-000-00000-43023</t>
  </si>
  <si>
    <t>AUTO PROPERTY TAX RELIEF PROGM</t>
  </si>
  <si>
    <t>43210</t>
  </si>
  <si>
    <t>1000-10-0001-000-00000-43210</t>
  </si>
  <si>
    <t>EMERGENCY PREPAREDNESS DIVISIO</t>
  </si>
  <si>
    <t>43211</t>
  </si>
  <si>
    <t>1000-10-0001-000-00000-43211</t>
  </si>
  <si>
    <t>EMERGENCY PREPAREDNESS - SPECL</t>
  </si>
  <si>
    <t>43220</t>
  </si>
  <si>
    <t>1000-10-0001-000-00000-43220</t>
  </si>
  <si>
    <t>PUBLIC DEFENDER STIPEND</t>
  </si>
  <si>
    <t>43238</t>
  </si>
  <si>
    <t>1000-10-0001-000-00000-43238</t>
  </si>
  <si>
    <t>VOTER REG. STATE REIMB.</t>
  </si>
  <si>
    <t>43240</t>
  </si>
  <si>
    <t>1000-10-0001-000-00000-43240</t>
  </si>
  <si>
    <t>SC DEPT OF COMMERCE FUNDS</t>
  </si>
  <si>
    <t>43260</t>
  </si>
  <si>
    <t>1000-10-0001-000-00000-43260</t>
  </si>
  <si>
    <t>STATE AID TO LIBRARIES</t>
  </si>
  <si>
    <t>43270</t>
  </si>
  <si>
    <t>1000-10-0001-000-00000-43270</t>
  </si>
  <si>
    <t>STATE AID - MAPPING</t>
  </si>
  <si>
    <t>43280</t>
  </si>
  <si>
    <t>1000-10-0001-000-00000-43280</t>
  </si>
  <si>
    <t>COC CHILD SUPP UNIT COSTS</t>
  </si>
  <si>
    <t>43285</t>
  </si>
  <si>
    <t>1000-10-0001-000-00000-43285</t>
  </si>
  <si>
    <t>FAM CRT-TITLE IV-D INCNTV</t>
  </si>
  <si>
    <t>43450</t>
  </si>
  <si>
    <t>1000-10-0001-000-00000-43450</t>
  </si>
  <si>
    <t>SCEMD (FEMA MATCH) GRANT REV</t>
  </si>
  <si>
    <t>43770</t>
  </si>
  <si>
    <t>1000-10-0001-000-00000-43770</t>
  </si>
  <si>
    <t>STATE GRANT FUNDS</t>
  </si>
  <si>
    <t>43775</t>
  </si>
  <si>
    <t>1000-10-0001-000-00000-43775</t>
  </si>
  <si>
    <t>FEDERAL COBRA REIMBURSEMENTS</t>
  </si>
  <si>
    <t>43780</t>
  </si>
  <si>
    <t>1000-10-0001-000-00000-43780</t>
  </si>
  <si>
    <t>FEDERAL GRANT FUNDS</t>
  </si>
  <si>
    <t>44050</t>
  </si>
  <si>
    <t>1000-10-0001-000-00000-44050</t>
  </si>
  <si>
    <t>COPY AND SERVICE FEES-RMC</t>
  </si>
  <si>
    <t>44070</t>
  </si>
  <si>
    <t>1000-10-0001-000-00000-44070</t>
  </si>
  <si>
    <t>MISCELLANEOUS FEE</t>
  </si>
  <si>
    <t>44105</t>
  </si>
  <si>
    <t>1000-10-0001-000-00000-44105</t>
  </si>
  <si>
    <t>SHERIFF FORENSIC SERVICES FEES</t>
  </si>
  <si>
    <t>44135</t>
  </si>
  <si>
    <t>1000-10-0001-000-00000-44135</t>
  </si>
  <si>
    <t>SOLICITOR WORTHLESS CHECK FEES</t>
  </si>
  <si>
    <t>44136</t>
  </si>
  <si>
    <t>1000-10-0001-000-00000-44136</t>
  </si>
  <si>
    <t>SOLICITOR ELECTRONIC MONITORIN</t>
  </si>
  <si>
    <t>44145</t>
  </si>
  <si>
    <t>1000-10-0001-000-00000-44145</t>
  </si>
  <si>
    <t>MAGISTRATE COURT COPY FEES</t>
  </si>
  <si>
    <t>4414C</t>
  </si>
  <si>
    <t>1000-10-0001-000-00000-4414C</t>
  </si>
  <si>
    <t>ST HEL MAGISTR' CIVIL FEE</t>
  </si>
  <si>
    <t>4414D</t>
  </si>
  <si>
    <t>1000-10-0001-000-00000-4414D</t>
  </si>
  <si>
    <t>SHLD MAGISTRATE CIVIL FEE</t>
  </si>
  <si>
    <t>44155</t>
  </si>
  <si>
    <t>1000-10-0001-000-00000-44155</t>
  </si>
  <si>
    <t>CLERK OF CT BONDSMEN FEES</t>
  </si>
  <si>
    <t>44195</t>
  </si>
  <si>
    <t>1000-10-0001-000-00000-44195</t>
  </si>
  <si>
    <t>MASTER IN EQUITY - SPECIAL</t>
  </si>
  <si>
    <t>44210</t>
  </si>
  <si>
    <t>1000-10-0001-000-00000-44210</t>
  </si>
  <si>
    <t>TREASURER'S EXECUT'N FEES</t>
  </si>
  <si>
    <t>44230</t>
  </si>
  <si>
    <t>1000-10-0001-000-00000-44230</t>
  </si>
  <si>
    <t>WASTE DISPOSAL FEES</t>
  </si>
  <si>
    <t>44270</t>
  </si>
  <si>
    <t>1000-10-0001-000-00000-44270</t>
  </si>
  <si>
    <t>VITAL STATISTICS FEES</t>
  </si>
  <si>
    <t>44280</t>
  </si>
  <si>
    <t>1000-10-0001-000-00000-44280</t>
  </si>
  <si>
    <t>ANIMAL SHELTER FEES</t>
  </si>
  <si>
    <t>44290</t>
  </si>
  <si>
    <t>1000-10-0001-000-00000-44290</t>
  </si>
  <si>
    <t>DATA PROCESSING FEES</t>
  </si>
  <si>
    <t>44310</t>
  </si>
  <si>
    <t>1000-10-0001-000-00000-44310</t>
  </si>
  <si>
    <t>ASSESSOR - VARIOUS SALES</t>
  </si>
  <si>
    <t>44315</t>
  </si>
  <si>
    <t>1000-10-0001-000-00000-44315</t>
  </si>
  <si>
    <t>MULTI-LOT DISCOUNT APPL FEES</t>
  </si>
  <si>
    <t>44320</t>
  </si>
  <si>
    <t>1000-10-0001-000-00000-44320</t>
  </si>
  <si>
    <t>BLDG CODES -VARIOUS SALES</t>
  </si>
  <si>
    <t>44331</t>
  </si>
  <si>
    <t>1000-10-0001-000-00000-44331</t>
  </si>
  <si>
    <t>PLANNING - FORM BASED CODE FEE</t>
  </si>
  <si>
    <t>44340</t>
  </si>
  <si>
    <t>1000-10-0001-000-00000-44340</t>
  </si>
  <si>
    <t>LIBRARY PICTURE SALES</t>
  </si>
  <si>
    <t>44350</t>
  </si>
  <si>
    <t>1000-10-0001-000-00000-44350</t>
  </si>
  <si>
    <t>ENGINEERING INSP FEESN</t>
  </si>
  <si>
    <t>44700</t>
  </si>
  <si>
    <t>1000-10-0001-000-00000-44700</t>
  </si>
  <si>
    <t>SHERIFF'S SRVCS-TOWN H H</t>
  </si>
  <si>
    <t>44710</t>
  </si>
  <si>
    <t>1000-10-0001-000-00000-44710</t>
  </si>
  <si>
    <t>SHERIFF'S SRVCS-OTHER</t>
  </si>
  <si>
    <t>44730</t>
  </si>
  <si>
    <t>1000-10-0001-000-00000-44730</t>
  </si>
  <si>
    <t>BOARDING PRISONERS-OTHERS</t>
  </si>
  <si>
    <t>44736</t>
  </si>
  <si>
    <t>1000-10-0001-000-00000-44736</t>
  </si>
  <si>
    <t>HHI HOLDING FACILITY (DET CTR)</t>
  </si>
  <si>
    <t>44740</t>
  </si>
  <si>
    <t>1000-10-0001-000-00000-44740</t>
  </si>
  <si>
    <t>PIPE SALES TO OTHERS</t>
  </si>
  <si>
    <t>44750</t>
  </si>
  <si>
    <t>1000-10-0001-000-00000-44750</t>
  </si>
  <si>
    <t>REIMBURSE TRAFFIC SIGNAL INSTL</t>
  </si>
  <si>
    <t>44780</t>
  </si>
  <si>
    <t>1000-10-0001-000-00000-44780</t>
  </si>
  <si>
    <t>CREDIT CARD CONVENIENCE FEES</t>
  </si>
  <si>
    <t>45030</t>
  </si>
  <si>
    <t>1000-10-0001-000-00000-45030</t>
  </si>
  <si>
    <t>BONDS ESCREATMENT</t>
  </si>
  <si>
    <t>45150</t>
  </si>
  <si>
    <t>1000-10-0001-000-00000-45150</t>
  </si>
  <si>
    <t>OTHER FINES</t>
  </si>
  <si>
    <t>45160</t>
  </si>
  <si>
    <t>1000-10-0001-000-00000-45160</t>
  </si>
  <si>
    <t>SIGN FINES</t>
  </si>
  <si>
    <t>45170</t>
  </si>
  <si>
    <t>1000-10-0001-000-00000-45170</t>
  </si>
  <si>
    <t>ABC FINES</t>
  </si>
  <si>
    <t>45300</t>
  </si>
  <si>
    <t>1000-10-0001-000-00000-45300</t>
  </si>
  <si>
    <t>GAME FINES</t>
  </si>
  <si>
    <t>45400</t>
  </si>
  <si>
    <t>1000-10-0001-000-00000-45400</t>
  </si>
  <si>
    <t>FORFEITURES</t>
  </si>
  <si>
    <t>46020</t>
  </si>
  <si>
    <t>1000-10-0001-000-00000-46020</t>
  </si>
  <si>
    <t>UNREALIZED GAINS/LOSSES</t>
  </si>
  <si>
    <t>46300</t>
  </si>
  <si>
    <t>1000-10-0001-000-00000-46300</t>
  </si>
  <si>
    <t>INTEREST INCOME - HH AIRPORT</t>
  </si>
  <si>
    <t>47011</t>
  </si>
  <si>
    <t>1000-10-0001-000-00000-47011</t>
  </si>
  <si>
    <t>MISCELLANEOUS REVENUE - PALS</t>
  </si>
  <si>
    <t>48570</t>
  </si>
  <si>
    <t>1000-10-0001-000-00000-48570</t>
  </si>
  <si>
    <t>RESIDUAL EQUITY XFER</t>
  </si>
  <si>
    <t>48910</t>
  </si>
  <si>
    <t>1000-10-0001-000-00000-48910</t>
  </si>
  <si>
    <t>CONT FROM PR YR FUND BAL</t>
  </si>
  <si>
    <t>48920</t>
  </si>
  <si>
    <t>1000-10-0001-000-00000-48920</t>
  </si>
  <si>
    <t>CONT F/RSVD ENC FUND BAL</t>
  </si>
  <si>
    <t>48930</t>
  </si>
  <si>
    <t>1000-10-0001-000-00000-48930</t>
  </si>
  <si>
    <t>CONT F/RSVD FUND BALANCE</t>
  </si>
  <si>
    <t>49217</t>
  </si>
  <si>
    <t>1000-10-0001-000-00000-49217</t>
  </si>
  <si>
    <t>XFER FM HOSPITALITY TAX FUND</t>
  </si>
  <si>
    <t>492701</t>
  </si>
  <si>
    <t>1000-10-0001-000-00000-492701</t>
  </si>
  <si>
    <t>XFER FM DNA GRANT FUND</t>
  </si>
  <si>
    <t>49603</t>
  </si>
  <si>
    <t>1000-10-0001-000-00000-49603</t>
  </si>
  <si>
    <t>XFER FM TREASURER EXC FEE FUN</t>
  </si>
  <si>
    <t>49CAP</t>
  </si>
  <si>
    <t>1000-10-0001-000-00000-49CAP</t>
  </si>
  <si>
    <t>XFER FM CAPITAL PROJECT FUNDS</t>
  </si>
  <si>
    <t>49SRF</t>
  </si>
  <si>
    <t>1000-10-0001-000-00000-49SRF</t>
  </si>
  <si>
    <t>XFER FM SPEC REVENUE FUNDS</t>
  </si>
  <si>
    <t>49TRUF</t>
  </si>
  <si>
    <t>1000-10-0001-000-00000-49TRUF</t>
  </si>
  <si>
    <t>XFER FM TRUST FUNDS</t>
  </si>
  <si>
    <t>4CARE</t>
  </si>
  <si>
    <t>1000-10-0001-000-00000-4CARE</t>
  </si>
  <si>
    <t>CARES GRANT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</si>
</sst>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#,##0.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%"/>
    <numFmt numFmtId="168" formatCode="0.0000%"/>
    <numFmt numFmtId="169" formatCode="#,##0.0"/>
  </numFmts>
  <fonts count="14" x14ac:knownFonts="1">
    <font>
      <sz val="11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11"/>
      <name val="Times New Roman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0" fontId="6" fillId="3" borderId="0">
      <alignment horizontal="left"/>
    </xf>
    <xf numFmtId="0" fontId="3" fillId="0" borderId="0"/>
  </cellStyleXfs>
  <cellXfs count="10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43" fontId="0" fillId="0" borderId="0" xfId="1" applyFont="1"/>
    <xf numFmtId="0" fontId="0" fillId="0" borderId="0" xfId="0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0" fontId="0" fillId="0" borderId="0" xfId="2" applyNumberFormat="1" applyFont="1"/>
    <xf numFmtId="166" fontId="0" fillId="0" borderId="0" xfId="3" applyNumberFormat="1" applyFont="1" applyFill="1"/>
    <xf numFmtId="165" fontId="0" fillId="0" borderId="0" xfId="1" applyNumberFormat="1" applyFont="1" applyFill="1"/>
    <xf numFmtId="165" fontId="0" fillId="0" borderId="0" xfId="1" applyNumberFormat="1" applyFont="1"/>
    <xf numFmtId="165" fontId="0" fillId="0" borderId="1" xfId="1" applyNumberFormat="1" applyFont="1" applyFill="1" applyBorder="1"/>
    <xf numFmtId="165" fontId="0" fillId="0" borderId="2" xfId="1" applyNumberFormat="1" applyFont="1" applyFill="1" applyBorder="1"/>
    <xf numFmtId="43" fontId="0" fillId="0" borderId="0" xfId="1" applyFont="1" applyFill="1"/>
    <xf numFmtId="0" fontId="4" fillId="0" borderId="0" xfId="0" applyFont="1"/>
    <xf numFmtId="165" fontId="0" fillId="0" borderId="0" xfId="1" applyNumberFormat="1" applyFont="1" applyFill="1" applyBorder="1"/>
    <xf numFmtId="165" fontId="0" fillId="0" borderId="0" xfId="1" applyNumberFormat="1" applyFont="1" applyBorder="1"/>
    <xf numFmtId="43" fontId="0" fillId="0" borderId="0" xfId="1" applyFont="1" applyBorder="1"/>
    <xf numFmtId="10" fontId="0" fillId="0" borderId="0" xfId="2" applyNumberFormat="1" applyFont="1" applyBorder="1"/>
    <xf numFmtId="43" fontId="0" fillId="0" borderId="0" xfId="1" applyFont="1" applyFill="1" applyBorder="1"/>
    <xf numFmtId="166" fontId="0" fillId="0" borderId="0" xfId="3" applyNumberFormat="1" applyFont="1" applyFill="1" applyBorder="1"/>
    <xf numFmtId="165" fontId="0" fillId="0" borderId="0" xfId="0" applyNumberFormat="1"/>
    <xf numFmtId="0" fontId="0" fillId="0" borderId="0" xfId="0" applyAlignment="1">
      <alignment horizontal="left" indent="1"/>
    </xf>
    <xf numFmtId="166" fontId="0" fillId="0" borderId="3" xfId="3" applyNumberFormat="1" applyFont="1" applyFill="1" applyBorder="1"/>
    <xf numFmtId="0" fontId="3" fillId="0" borderId="0" xfId="0" applyFont="1"/>
    <xf numFmtId="0" fontId="8" fillId="0" borderId="0" xfId="0" applyFont="1"/>
    <xf numFmtId="0" fontId="8" fillId="4" borderId="0" xfId="0" applyFont="1" applyFill="1"/>
    <xf numFmtId="0" fontId="10" fillId="4" borderId="0" xfId="0" applyFont="1" applyFill="1" applyAlignment="1">
      <alignment horizontal="center"/>
    </xf>
    <xf numFmtId="166" fontId="8" fillId="4" borderId="0" xfId="0" applyNumberFormat="1" applyFont="1" applyFill="1"/>
    <xf numFmtId="10" fontId="8" fillId="4" borderId="0" xfId="2" applyNumberFormat="1" applyFont="1" applyFill="1"/>
    <xf numFmtId="0" fontId="8" fillId="0" borderId="0" xfId="0" applyFont="1" applyAlignment="1">
      <alignment horizontal="center"/>
    </xf>
    <xf numFmtId="0" fontId="8" fillId="0" borderId="4" xfId="0" applyFont="1" applyBorder="1"/>
    <xf numFmtId="10" fontId="8" fillId="0" borderId="0" xfId="0" applyNumberFormat="1" applyFont="1"/>
    <xf numFmtId="10" fontId="8" fillId="0" borderId="0" xfId="2" applyNumberFormat="1" applyFont="1"/>
    <xf numFmtId="165" fontId="8" fillId="0" borderId="0" xfId="1" applyNumberFormat="1" applyFont="1"/>
    <xf numFmtId="43" fontId="8" fillId="0" borderId="0" xfId="1" applyFont="1"/>
    <xf numFmtId="0" fontId="11" fillId="0" borderId="0" xfId="0" applyFont="1"/>
    <xf numFmtId="167" fontId="8" fillId="0" borderId="0" xfId="2" applyNumberFormat="1" applyFont="1"/>
    <xf numFmtId="168" fontId="8" fillId="0" borderId="0" xfId="2" applyNumberFormat="1" applyFont="1"/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166" fontId="8" fillId="0" borderId="4" xfId="3" applyNumberFormat="1" applyFont="1" applyFill="1" applyBorder="1"/>
    <xf numFmtId="10" fontId="8" fillId="0" borderId="4" xfId="2" applyNumberFormat="1" applyFont="1" applyFill="1" applyBorder="1"/>
    <xf numFmtId="10" fontId="8" fillId="0" borderId="4" xfId="2" applyNumberFormat="1" applyFont="1" applyBorder="1" applyAlignment="1">
      <alignment horizontal="center"/>
    </xf>
    <xf numFmtId="0" fontId="11" fillId="4" borderId="0" xfId="0" applyFont="1" applyFill="1"/>
    <xf numFmtId="166" fontId="11" fillId="4" borderId="0" xfId="3" applyNumberFormat="1" applyFont="1" applyFill="1" applyBorder="1"/>
    <xf numFmtId="10" fontId="11" fillId="4" borderId="0" xfId="2" applyNumberFormat="1" applyFont="1" applyFill="1" applyBorder="1"/>
    <xf numFmtId="9" fontId="8" fillId="4" borderId="0" xfId="2" applyFont="1" applyFill="1" applyBorder="1" applyAlignment="1">
      <alignment horizontal="center"/>
    </xf>
    <xf numFmtId="166" fontId="8" fillId="4" borderId="0" xfId="3" applyNumberFormat="1" applyFont="1" applyFill="1" applyBorder="1"/>
    <xf numFmtId="10" fontId="8" fillId="4" borderId="0" xfId="2" applyNumberFormat="1" applyFont="1" applyFill="1" applyBorder="1"/>
    <xf numFmtId="0" fontId="8" fillId="4" borderId="0" xfId="0" applyFont="1" applyFill="1" applyAlignment="1">
      <alignment horizontal="center"/>
    </xf>
    <xf numFmtId="10" fontId="8" fillId="0" borderId="0" xfId="2" applyNumberFormat="1" applyFont="1" applyBorder="1"/>
    <xf numFmtId="9" fontId="8" fillId="0" borderId="0" xfId="2" applyFont="1" applyBorder="1" applyAlignment="1">
      <alignment horizontal="center"/>
    </xf>
    <xf numFmtId="43" fontId="8" fillId="0" borderId="0" xfId="1" applyFont="1" applyBorder="1"/>
    <xf numFmtId="166" fontId="8" fillId="0" borderId="0" xfId="2" applyNumberFormat="1" applyFont="1" applyBorder="1"/>
    <xf numFmtId="166" fontId="8" fillId="0" borderId="0" xfId="3" applyNumberFormat="1" applyFont="1" applyBorder="1"/>
    <xf numFmtId="165" fontId="8" fillId="2" borderId="0" xfId="1" applyNumberFormat="1" applyFont="1" applyFill="1"/>
    <xf numFmtId="165" fontId="8" fillId="0" borderId="0" xfId="0" applyNumberFormat="1" applyFont="1"/>
    <xf numFmtId="166" fontId="8" fillId="0" borderId="0" xfId="3" applyNumberFormat="1" applyFont="1"/>
    <xf numFmtId="166" fontId="11" fillId="0" borderId="0" xfId="0" applyNumberFormat="1" applyFont="1"/>
    <xf numFmtId="166" fontId="8" fillId="0" borderId="0" xfId="0" applyNumberFormat="1" applyFont="1"/>
    <xf numFmtId="43" fontId="1" fillId="0" borderId="0" xfId="1" applyFont="1" applyAlignment="1">
      <alignment vertical="top"/>
    </xf>
    <xf numFmtId="43" fontId="2" fillId="0" borderId="0" xfId="1" applyFont="1" applyAlignment="1">
      <alignment vertical="top"/>
    </xf>
    <xf numFmtId="166" fontId="8" fillId="4" borderId="5" xfId="3" applyNumberFormat="1" applyFont="1" applyFill="1" applyBorder="1"/>
    <xf numFmtId="9" fontId="8" fillId="0" borderId="0" xfId="2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wrapText="1"/>
    </xf>
    <xf numFmtId="166" fontId="11" fillId="0" borderId="0" xfId="3" applyNumberFormat="1" applyFont="1" applyFill="1" applyBorder="1"/>
    <xf numFmtId="10" fontId="11" fillId="0" borderId="0" xfId="2" applyNumberFormat="1" applyFont="1" applyFill="1" applyBorder="1"/>
    <xf numFmtId="9" fontId="8" fillId="0" borderId="0" xfId="2" applyFont="1" applyFill="1" applyBorder="1" applyAlignment="1">
      <alignment horizontal="center"/>
    </xf>
    <xf numFmtId="165" fontId="8" fillId="4" borderId="2" xfId="1" applyNumberFormat="1" applyFont="1" applyFill="1" applyBorder="1"/>
    <xf numFmtId="166" fontId="0" fillId="0" borderId="0" xfId="3" applyNumberFormat="1" applyFont="1"/>
    <xf numFmtId="165" fontId="0" fillId="0" borderId="2" xfId="1" applyNumberFormat="1" applyFont="1" applyBorder="1"/>
    <xf numFmtId="9" fontId="0" fillId="0" borderId="0" xfId="1" applyNumberFormat="1" applyFont="1"/>
    <xf numFmtId="10" fontId="0" fillId="0" borderId="0" xfId="2" applyNumberFormat="1" applyFont="1" applyFill="1"/>
    <xf numFmtId="10" fontId="0" fillId="0" borderId="0" xfId="2" applyNumberFormat="1" applyFont="1" applyBorder="1" applyAlignment="1">
      <alignment horizontal="center"/>
    </xf>
    <xf numFmtId="10" fontId="0" fillId="0" borderId="2" xfId="2" applyNumberFormat="1" applyFont="1" applyBorder="1" applyAlignment="1">
      <alignment horizontal="center"/>
    </xf>
    <xf numFmtId="165" fontId="3" fillId="0" borderId="0" xfId="1" applyNumberFormat="1" applyFont="1"/>
    <xf numFmtId="166" fontId="8" fillId="0" borderId="0" xfId="3" applyNumberFormat="1" applyFont="1" applyFill="1" applyBorder="1"/>
    <xf numFmtId="10" fontId="8" fillId="0" borderId="0" xfId="2" applyNumberFormat="1" applyFont="1" applyFill="1" applyBorder="1"/>
    <xf numFmtId="44" fontId="0" fillId="0" borderId="0" xfId="0" applyNumberFormat="1"/>
    <xf numFmtId="10" fontId="0" fillId="0" borderId="0" xfId="0" applyNumberFormat="1"/>
    <xf numFmtId="10" fontId="0" fillId="0" borderId="2" xfId="2" applyNumberFormat="1" applyFont="1" applyFill="1" applyBorder="1"/>
    <xf numFmtId="10" fontId="0" fillId="0" borderId="1" xfId="2" applyNumberFormat="1" applyFont="1" applyFill="1" applyBorder="1"/>
    <xf numFmtId="165" fontId="0" fillId="0" borderId="1" xfId="1" applyNumberFormat="1" applyFont="1" applyBorder="1"/>
    <xf numFmtId="9" fontId="0" fillId="0" borderId="1" xfId="2" applyFont="1" applyFill="1" applyBorder="1"/>
    <xf numFmtId="0" fontId="0" fillId="0" borderId="0" xfId="0" applyAlignment="1">
      <alignment horizontal="left"/>
    </xf>
    <xf numFmtId="165" fontId="0" fillId="0" borderId="0" xfId="2" applyNumberFormat="1" applyFont="1"/>
    <xf numFmtId="9" fontId="0" fillId="0" borderId="1" xfId="2" applyFont="1" applyBorder="1"/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3" fontId="12" fillId="0" borderId="0" xfId="0" applyNumberFormat="1" applyFont="1" applyAlignment="1">
      <alignment vertical="top"/>
    </xf>
    <xf numFmtId="4" fontId="12" fillId="0" borderId="0" xfId="0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4" fontId="0" fillId="0" borderId="0" xfId="0" applyNumberFormat="1" applyAlignment="1">
      <alignment horizontal="center"/>
    </xf>
    <xf numFmtId="165" fontId="0" fillId="2" borderId="0" xfId="1" applyNumberFormat="1" applyFont="1" applyFill="1"/>
    <xf numFmtId="169" fontId="12" fillId="0" borderId="0" xfId="0" applyNumberFormat="1" applyFont="1" applyAlignment="1">
      <alignment vertical="top"/>
    </xf>
    <xf numFmtId="3" fontId="13" fillId="0" borderId="0" xfId="0" applyNumberFormat="1" applyFont="1" applyAlignment="1">
      <alignment vertical="top"/>
    </xf>
    <xf numFmtId="3" fontId="0" fillId="0" borderId="0" xfId="0" applyNumberFormat="1"/>
    <xf numFmtId="0" fontId="7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7">
    <cellStyle name="Comma" xfId="1" builtinId="3"/>
    <cellStyle name="Currency" xfId="3" builtinId="4"/>
    <cellStyle name="Normal" xfId="0" builtinId="0"/>
    <cellStyle name="Normal 2" xfId="4" xr:uid="{00000000-0005-0000-0000-000003000000}"/>
    <cellStyle name="Normal 3" xfId="6" xr:uid="{A0C4297A-A1B9-4C26-9712-BF64199BD648}"/>
    <cellStyle name="Percent" xfId="2" builtinId="5"/>
    <cellStyle name="SubgroupSectionHeaderRowDescCol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600" b="1" i="0" baseline="0"/>
              <a:t>General Fund Revenues through August 2023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044331348825303E-2"/>
          <c:y val="9.2121212121212118E-2"/>
          <c:w val="0.90285539764846467"/>
          <c:h val="0.71881307563827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'Executive summary'!$G$20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'Executive summary'!$F$21:$F$35</c:f>
              <c:strCache>
                <c:ptCount val="15"/>
                <c:pt idx="0">
                  <c:v>Ad Valorem taxes</c:v>
                </c:pt>
                <c:pt idx="2">
                  <c:v>Licenses &amp; permits </c:v>
                </c:pt>
                <c:pt idx="4">
                  <c:v>Intergovernmental </c:v>
                </c:pt>
                <c:pt idx="6">
                  <c:v>Charges for services</c:v>
                </c:pt>
                <c:pt idx="8">
                  <c:v>Fines &amp; forfeitures</c:v>
                </c:pt>
                <c:pt idx="10">
                  <c:v>Interest</c:v>
                </c:pt>
                <c:pt idx="12">
                  <c:v>Miscellaneous revenues</c:v>
                </c:pt>
                <c:pt idx="14">
                  <c:v>Transfers in</c:v>
                </c:pt>
              </c:strCache>
            </c:strRef>
          </c:cat>
          <c:val>
            <c:numRef>
              <c:f>'Executive summary'!$G$21:$G$35</c:f>
              <c:numCache>
                <c:formatCode>General</c:formatCode>
                <c:ptCount val="15"/>
                <c:pt idx="0" formatCode="0.00%">
                  <c:v>0.92821724828287511</c:v>
                </c:pt>
                <c:pt idx="2" formatCode="0.00%">
                  <c:v>1.4543345123799898</c:v>
                </c:pt>
                <c:pt idx="4" formatCode="0.00%">
                  <c:v>1.0135187290541907</c:v>
                </c:pt>
                <c:pt idx="6" formatCode="0.00%">
                  <c:v>1.0063435085849859</c:v>
                </c:pt>
                <c:pt idx="8" formatCode="0.00%">
                  <c:v>0.91261892579134518</c:v>
                </c:pt>
                <c:pt idx="10" formatCode="0.00%">
                  <c:v>7.4635256410256412</c:v>
                </c:pt>
                <c:pt idx="12" formatCode="0.00%">
                  <c:v>1.7723418912194536E-2</c:v>
                </c:pt>
                <c:pt idx="14" formatCode="0.00%">
                  <c:v>1.0675647153963792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C-4963-9D85-4E00392DB79D}"/>
            </c:ext>
          </c:extLst>
        </c:ser>
        <c:ser>
          <c:idx val="1"/>
          <c:order val="1"/>
          <c:tx>
            <c:strRef>
              <c:f>'Executive summary'!$H$20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'Executive summary'!$F$21:$F$35</c:f>
              <c:strCache>
                <c:ptCount val="15"/>
                <c:pt idx="0">
                  <c:v>Ad Valorem taxes</c:v>
                </c:pt>
                <c:pt idx="2">
                  <c:v>Licenses &amp; permits </c:v>
                </c:pt>
                <c:pt idx="4">
                  <c:v>Intergovernmental </c:v>
                </c:pt>
                <c:pt idx="6">
                  <c:v>Charges for services</c:v>
                </c:pt>
                <c:pt idx="8">
                  <c:v>Fines &amp; forfeitures</c:v>
                </c:pt>
                <c:pt idx="10">
                  <c:v>Interest</c:v>
                </c:pt>
                <c:pt idx="12">
                  <c:v>Miscellaneous revenues</c:v>
                </c:pt>
                <c:pt idx="14">
                  <c:v>Transfers in</c:v>
                </c:pt>
              </c:strCache>
            </c:strRef>
          </c:cat>
          <c:val>
            <c:numRef>
              <c:f>'Executive summary'!$H$21:$H$35</c:f>
              <c:numCache>
                <c:formatCode>0.00%</c:formatCode>
                <c:ptCount val="15"/>
                <c:pt idx="0">
                  <c:v>1.0366425496307163</c:v>
                </c:pt>
                <c:pt idx="2">
                  <c:v>0.78827630021800066</c:v>
                </c:pt>
                <c:pt idx="4">
                  <c:v>0.81148596825653097</c:v>
                </c:pt>
                <c:pt idx="6">
                  <c:v>1.1305458481302793</c:v>
                </c:pt>
                <c:pt idx="8">
                  <c:v>0.85722438953908398</c:v>
                </c:pt>
                <c:pt idx="10">
                  <c:v>0.85382470119521914</c:v>
                </c:pt>
                <c:pt idx="12">
                  <c:v>6.0233516672396012</c:v>
                </c:pt>
                <c:pt idx="14">
                  <c:v>0.79319205027982997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C-4963-9D85-4E00392DB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95648"/>
        <c:axId val="2119964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'Executive summary'!$I$20</c15:sqref>
                        </c15:formulaRef>
                      </c:ext>
                    </c:extLst>
                    <c:strCache>
                      <c:ptCount val="1"/>
                      <c:pt idx="0">
                        <c:v>Expected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'Executive summary'!$F$21:$F$35</c15:sqref>
                        </c15:formulaRef>
                      </c:ext>
                    </c:extLst>
                    <c:strCache>
                      <c:ptCount val="15"/>
                      <c:pt idx="0">
                        <c:v>Ad Valorem taxes</c:v>
                      </c:pt>
                      <c:pt idx="2">
                        <c:v>Licenses &amp; permits </c:v>
                      </c:pt>
                      <c:pt idx="4">
                        <c:v>Intergovernmental </c:v>
                      </c:pt>
                      <c:pt idx="6">
                        <c:v>Charges for services</c:v>
                      </c:pt>
                      <c:pt idx="8">
                        <c:v>Fines &amp; forfeitures</c:v>
                      </c:pt>
                      <c:pt idx="10">
                        <c:v>Interest</c:v>
                      </c:pt>
                      <c:pt idx="12">
                        <c:v>Miscellaneous revenues</c:v>
                      </c:pt>
                      <c:pt idx="14">
                        <c:v>Transfers in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'Executive summary'!$I$21:$I$35</c15:sqref>
                        </c15:formulaRef>
                      </c:ext>
                    </c:extLst>
                    <c:numCache>
                      <c:formatCode>0.00%</c:formatCode>
                      <c:ptCount val="15"/>
                      <c:pt idx="0">
                        <c:v>0.91669999999999996</c:v>
                      </c:pt>
                      <c:pt idx="2">
                        <c:v>0.91669999999999996</c:v>
                      </c:pt>
                      <c:pt idx="4">
                        <c:v>0.91669999999999996</c:v>
                      </c:pt>
                      <c:pt idx="6">
                        <c:v>0.91669999999999996</c:v>
                      </c:pt>
                      <c:pt idx="8">
                        <c:v>0.91669999999999996</c:v>
                      </c:pt>
                      <c:pt idx="10">
                        <c:v>0.91669999999999996</c:v>
                      </c:pt>
                      <c:pt idx="12">
                        <c:v>0.91669999999999996</c:v>
                      </c:pt>
                      <c:pt idx="14">
                        <c:v>0.91669999999999996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8DC-4963-9D85-4E00392DB79D}"/>
                  </c:ext>
                </c:extLst>
              </c15:ser>
            </c15:filteredBarSeries>
          </c:ext>
        </c:extLst>
      </c:barChart>
      <c:catAx>
        <c:axId val="211995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996480"/>
        <c:crosses val="autoZero"/>
        <c:auto val="1"/>
        <c:lblAlgn val="ctr"/>
        <c:lblOffset val="100"/>
        <c:noMultiLvlLbl val="0"/>
      </c:catAx>
      <c:valAx>
        <c:axId val="21199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995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400" b="1"/>
              <a:t>General Fund Expenditures through August</a:t>
            </a:r>
            <a:r>
              <a:rPr lang="en-US" sz="1400" b="1" baseline="0"/>
              <a:t> </a:t>
            </a:r>
            <a:r>
              <a:rPr lang="en-US" sz="1400" b="1"/>
              <a:t>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'Executive summary'!$G$80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'Executive summary'!$F$81:$F$93</c:f>
              <c:strCache>
                <c:ptCount val="13"/>
                <c:pt idx="0">
                  <c:v>General Government</c:v>
                </c:pt>
                <c:pt idx="2">
                  <c:v>Public Safety</c:v>
                </c:pt>
                <c:pt idx="4">
                  <c:v>Public Works</c:v>
                </c:pt>
                <c:pt idx="6">
                  <c:v>Public Health </c:v>
                </c:pt>
                <c:pt idx="8">
                  <c:v>Public welfare</c:v>
                </c:pt>
                <c:pt idx="10">
                  <c:v>Culture &amp; Recreation</c:v>
                </c:pt>
                <c:pt idx="12">
                  <c:v>Other</c:v>
                </c:pt>
              </c:strCache>
            </c:strRef>
          </c:cat>
          <c:val>
            <c:numRef>
              <c:f>'Executive summary'!$G$81:$G$93</c:f>
              <c:numCache>
                <c:formatCode>0.00%</c:formatCode>
                <c:ptCount val="13"/>
                <c:pt idx="0">
                  <c:v>0.91331190333113743</c:v>
                </c:pt>
                <c:pt idx="2">
                  <c:v>0.96339602961076987</c:v>
                </c:pt>
                <c:pt idx="4">
                  <c:v>0.87156705109727828</c:v>
                </c:pt>
                <c:pt idx="6">
                  <c:v>0.89329223550946657</c:v>
                </c:pt>
                <c:pt idx="8">
                  <c:v>0.89159910539558285</c:v>
                </c:pt>
                <c:pt idx="10">
                  <c:v>0.77694949727281826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B6-49D6-AB13-BFC560DF8828}"/>
            </c:ext>
          </c:extLst>
        </c:ser>
        <c:ser>
          <c:idx val="1"/>
          <c:order val="1"/>
          <c:tx>
            <c:strRef>
              <c:f>'Executive summary'!$H$80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'Executive summary'!$F$81:$F$93</c:f>
              <c:strCache>
                <c:ptCount val="13"/>
                <c:pt idx="0">
                  <c:v>General Government</c:v>
                </c:pt>
                <c:pt idx="2">
                  <c:v>Public Safety</c:v>
                </c:pt>
                <c:pt idx="4">
                  <c:v>Public Works</c:v>
                </c:pt>
                <c:pt idx="6">
                  <c:v>Public Health </c:v>
                </c:pt>
                <c:pt idx="8">
                  <c:v>Public welfare</c:v>
                </c:pt>
                <c:pt idx="10">
                  <c:v>Culture &amp; Recreation</c:v>
                </c:pt>
                <c:pt idx="12">
                  <c:v>Other</c:v>
                </c:pt>
              </c:strCache>
            </c:strRef>
          </c:cat>
          <c:val>
            <c:numRef>
              <c:f>'Executive summary'!$H$81:$H$93</c:f>
              <c:numCache>
                <c:formatCode>0.00%</c:formatCode>
                <c:ptCount val="13"/>
                <c:pt idx="0">
                  <c:v>0.89559686507614367</c:v>
                </c:pt>
                <c:pt idx="2">
                  <c:v>0.83044687629226832</c:v>
                </c:pt>
                <c:pt idx="4">
                  <c:v>0.81761807677770804</c:v>
                </c:pt>
                <c:pt idx="6">
                  <c:v>0.9026500060001541</c:v>
                </c:pt>
                <c:pt idx="8">
                  <c:v>1.0053624759209212</c:v>
                </c:pt>
                <c:pt idx="10">
                  <c:v>0.8136962811487618</c:v>
                </c:pt>
                <c:pt idx="12">
                  <c:v>5.9012706736587335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B6-49D6-AB13-BFC560DF8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011191488"/>
        <c:axId val="1011193152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'Executive summary'!$I$80</c15:sqref>
                        </c15:formulaRef>
                      </c:ext>
                    </c:extLst>
                    <c:strCache>
                      <c:ptCount val="1"/>
                      <c:pt idx="0">
                        <c:v>Expected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'Executive summary'!$F$81:$F$93</c15:sqref>
                        </c15:formulaRef>
                      </c:ext>
                    </c:extLst>
                    <c:strCache>
                      <c:ptCount val="13"/>
                      <c:pt idx="0">
                        <c:v>General Government</c:v>
                      </c:pt>
                      <c:pt idx="2">
                        <c:v>Public Safety</c:v>
                      </c:pt>
                      <c:pt idx="4">
                        <c:v>Public Works</c:v>
                      </c:pt>
                      <c:pt idx="6">
                        <c:v>Public Health </c:v>
                      </c:pt>
                      <c:pt idx="8">
                        <c:v>Public welfare</c:v>
                      </c:pt>
                      <c:pt idx="10">
                        <c:v>Culture &amp; Recreation</c:v>
                      </c:pt>
                      <c:pt idx="12">
                        <c:v>Other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'Executive summary'!$I$81:$I$93</c15:sqref>
                        </c15:formulaRef>
                      </c:ext>
                    </c:extLst>
                    <c:numCache>
                      <c:formatCode>0.00%</c:formatCode>
                      <c:ptCount val="13"/>
                      <c:pt idx="0">
                        <c:v>0.91669999999999996</c:v>
                      </c:pt>
                      <c:pt idx="1">
                        <c:v>8.3299999999999999E-2</c:v>
                      </c:pt>
                      <c:pt idx="2">
                        <c:v>0.91669999999999996</c:v>
                      </c:pt>
                      <c:pt idx="3">
                        <c:v>8.3299999999999999E-2</c:v>
                      </c:pt>
                      <c:pt idx="4">
                        <c:v>0.91669999999999996</c:v>
                      </c:pt>
                      <c:pt idx="5">
                        <c:v>0</c:v>
                      </c:pt>
                      <c:pt idx="6">
                        <c:v>0.91669999999999996</c:v>
                      </c:pt>
                      <c:pt idx="7">
                        <c:v>0</c:v>
                      </c:pt>
                      <c:pt idx="8">
                        <c:v>0.91669999999999996</c:v>
                      </c:pt>
                      <c:pt idx="9">
                        <c:v>8.3299999999999999E-2</c:v>
                      </c:pt>
                      <c:pt idx="10">
                        <c:v>0.91669999999999996</c:v>
                      </c:pt>
                      <c:pt idx="11">
                        <c:v>8.3299999999999999E-2</c:v>
                      </c:pt>
                      <c:pt idx="12">
                        <c:v>0.91669999999999996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EA3-4808-B62E-BC6F0BDDF50D}"/>
                  </c:ext>
                </c:extLst>
              </c15:ser>
            </c15:filteredBarSeries>
          </c:ext>
        </c:extLst>
      </c:barChart>
      <c:catAx>
        <c:axId val="101119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11193152"/>
        <c:crosses val="autoZero"/>
        <c:auto val="1"/>
        <c:lblAlgn val="ctr"/>
        <c:lblOffset val="100"/>
        <c:noMultiLvlLbl val="0"/>
      </c:catAx>
      <c:valAx>
        <c:axId val="10111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1119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59969461200899"/>
          <c:y val="0.93405473019861252"/>
          <c:w val="0.14027401678853574"/>
          <c:h val="4.8715317088789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45720</xdr:rowOff>
    </xdr:from>
    <xdr:to>
      <xdr:col>4</xdr:col>
      <xdr:colOff>1226820</xdr:colOff>
      <xdr:row>45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</xdr:colOff>
      <xdr:row>80</xdr:row>
      <xdr:rowOff>76200</xdr:rowOff>
    </xdr:from>
    <xdr:to>
      <xdr:col>5</xdr:col>
      <xdr:colOff>7620</xdr:colOff>
      <xdr:row>108</xdr:row>
      <xdr:rowOff>21981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eaufortcountysc-my.sharepoint.com/personal/denise_christmas_bcgov_net/Documents/2023yefin.xlsx" TargetMode="External"/><Relationship Id="rId1" Type="http://schemas.openxmlformats.org/officeDocument/2006/relationships/externalLinkPath" Target="/personal/denise_christmas_bcgov_net/Documents/2023yef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COUNT DETAIL"/>
    </sheetNames>
    <sheetDataSet>
      <sheetData sheetId="0">
        <row r="809">
          <cell r="F809">
            <v>27353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"/>
  <sheetViews>
    <sheetView tabSelected="1" view="pageBreakPreview" topLeftCell="A21" zoomScale="120" zoomScaleNormal="100" zoomScaleSheetLayoutView="120" workbookViewId="0">
      <selection activeCell="C48" sqref="C48"/>
    </sheetView>
  </sheetViews>
  <sheetFormatPr defaultColWidth="9.140625" defaultRowHeight="15" x14ac:dyDescent="0.25"/>
  <cols>
    <col min="1" max="1" width="41.7109375" style="25" customWidth="1"/>
    <col min="2" max="2" width="18.7109375" style="25" customWidth="1"/>
    <col min="3" max="3" width="23.42578125" style="25" customWidth="1"/>
    <col min="4" max="4" width="18.7109375" style="25" customWidth="1"/>
    <col min="5" max="5" width="25.5703125" style="25" customWidth="1"/>
    <col min="6" max="6" width="20.5703125" style="25" bestFit="1" customWidth="1"/>
    <col min="7" max="7" width="14.140625" style="25" bestFit="1" customWidth="1"/>
    <col min="8" max="9" width="9.140625" style="25"/>
    <col min="10" max="10" width="14.7109375" style="25" bestFit="1" customWidth="1"/>
    <col min="11" max="11" width="14.7109375" style="25" customWidth="1"/>
    <col min="12" max="12" width="12.7109375" style="25" bestFit="1" customWidth="1"/>
    <col min="13" max="13" width="16.140625" style="25" bestFit="1" customWidth="1"/>
    <col min="14" max="16384" width="9.140625" style="25"/>
  </cols>
  <sheetData>
    <row r="1" spans="1:6" ht="18.75" x14ac:dyDescent="0.3">
      <c r="A1" s="100" t="s">
        <v>413</v>
      </c>
      <c r="B1" s="100"/>
      <c r="C1" s="100"/>
      <c r="D1" s="100"/>
      <c r="E1" s="100"/>
    </row>
    <row r="2" spans="1:6" ht="15.75" x14ac:dyDescent="0.25">
      <c r="A2" s="101" t="s">
        <v>585</v>
      </c>
      <c r="B2" s="101"/>
      <c r="C2" s="101"/>
      <c r="D2" s="101"/>
      <c r="E2" s="101"/>
    </row>
    <row r="3" spans="1:6" x14ac:dyDescent="0.25">
      <c r="A3" s="26"/>
      <c r="B3" s="26"/>
      <c r="C3" s="26"/>
    </row>
    <row r="4" spans="1:6" ht="15.75" x14ac:dyDescent="0.25">
      <c r="A4" s="26"/>
      <c r="B4" s="26"/>
      <c r="C4" s="27" t="s">
        <v>427</v>
      </c>
    </row>
    <row r="5" spans="1:6" x14ac:dyDescent="0.25">
      <c r="A5" s="26" t="s">
        <v>483</v>
      </c>
      <c r="B5" s="26"/>
      <c r="C5" s="28">
        <f>SUM(B48:B55)</f>
        <v>174199485</v>
      </c>
    </row>
    <row r="6" spans="1:6" x14ac:dyDescent="0.25">
      <c r="A6" s="26" t="s">
        <v>430</v>
      </c>
      <c r="B6" s="26"/>
      <c r="C6" s="28">
        <f>SUM(C48:C55)</f>
        <v>138005873</v>
      </c>
    </row>
    <row r="7" spans="1:6" x14ac:dyDescent="0.25">
      <c r="A7" s="26" t="s">
        <v>519</v>
      </c>
      <c r="B7" s="26"/>
      <c r="C7" s="28">
        <f>+C6-C5</f>
        <v>-36193612</v>
      </c>
    </row>
    <row r="8" spans="1:6" x14ac:dyDescent="0.25">
      <c r="A8" s="26"/>
      <c r="B8" s="26"/>
      <c r="C8" s="26"/>
      <c r="F8" s="25">
        <v>4</v>
      </c>
    </row>
    <row r="9" spans="1:6" x14ac:dyDescent="0.25">
      <c r="A9" s="26" t="s">
        <v>429</v>
      </c>
      <c r="B9" s="26"/>
      <c r="C9" s="29">
        <f>+C6/C5</f>
        <v>0.79222893799025873</v>
      </c>
      <c r="F9" s="25">
        <v>12</v>
      </c>
    </row>
    <row r="10" spans="1:6" x14ac:dyDescent="0.25">
      <c r="A10" s="26" t="s">
        <v>428</v>
      </c>
      <c r="B10" s="26"/>
      <c r="C10" s="29">
        <v>0.91669999999999996</v>
      </c>
      <c r="F10" s="64">
        <f>+F8/F9</f>
        <v>0.33333333333333331</v>
      </c>
    </row>
    <row r="19" spans="6:14" x14ac:dyDescent="0.25">
      <c r="J19" s="30">
        <v>2022</v>
      </c>
      <c r="K19" s="30">
        <v>2022</v>
      </c>
      <c r="L19" s="30">
        <v>2022</v>
      </c>
      <c r="M19" s="30">
        <v>2022</v>
      </c>
    </row>
    <row r="20" spans="6:14" x14ac:dyDescent="0.25">
      <c r="G20" s="25">
        <v>2023</v>
      </c>
      <c r="H20" s="25">
        <v>2022</v>
      </c>
      <c r="I20" s="25" t="s">
        <v>431</v>
      </c>
      <c r="J20" s="30" t="s">
        <v>432</v>
      </c>
      <c r="K20" s="30" t="s">
        <v>438</v>
      </c>
      <c r="L20" s="30" t="s">
        <v>439</v>
      </c>
      <c r="M20" s="30" t="s">
        <v>129</v>
      </c>
    </row>
    <row r="21" spans="6:14" x14ac:dyDescent="0.25">
      <c r="F21" s="31" t="s">
        <v>418</v>
      </c>
      <c r="G21" s="32">
        <f>+D48</f>
        <v>0.92821724828287511</v>
      </c>
      <c r="H21" s="33">
        <f>+K21/J21</f>
        <v>1.0366425496307163</v>
      </c>
      <c r="I21" s="33">
        <v>0.91669999999999996</v>
      </c>
      <c r="J21" s="34">
        <v>100823197</v>
      </c>
      <c r="K21" s="34">
        <v>104517616</v>
      </c>
      <c r="L21" s="34"/>
      <c r="M21" s="34">
        <f>+K21+L21</f>
        <v>104517616</v>
      </c>
      <c r="N21" s="34"/>
    </row>
    <row r="22" spans="6:14" ht="5.45" customHeight="1" x14ac:dyDescent="0.25">
      <c r="H22" s="33"/>
      <c r="I22" s="33"/>
      <c r="J22" s="34"/>
      <c r="K22" s="34"/>
      <c r="L22" s="34"/>
      <c r="M22" s="34">
        <f t="shared" ref="M22:M35" si="0">+K22+L22</f>
        <v>0</v>
      </c>
      <c r="N22" s="34"/>
    </row>
    <row r="23" spans="6:14" x14ac:dyDescent="0.25">
      <c r="F23" s="31" t="s">
        <v>419</v>
      </c>
      <c r="G23" s="32">
        <f>+D49</f>
        <v>1.4543345123799898</v>
      </c>
      <c r="H23" s="33">
        <f>+K23/J23</f>
        <v>0.78827630021800066</v>
      </c>
      <c r="I23" s="33">
        <v>0.91669999999999996</v>
      </c>
      <c r="J23" s="34">
        <v>4013750</v>
      </c>
      <c r="K23" s="34">
        <v>3163944</v>
      </c>
      <c r="L23" s="34"/>
      <c r="M23" s="34">
        <f t="shared" si="0"/>
        <v>3163944</v>
      </c>
      <c r="N23" s="34"/>
    </row>
    <row r="24" spans="6:14" ht="5.45" customHeight="1" x14ac:dyDescent="0.25">
      <c r="F24" s="31"/>
      <c r="G24" s="32"/>
      <c r="H24" s="33"/>
      <c r="I24" s="33"/>
      <c r="J24" s="34"/>
      <c r="K24" s="34"/>
      <c r="L24" s="34"/>
      <c r="M24" s="34">
        <f t="shared" si="0"/>
        <v>0</v>
      </c>
      <c r="N24" s="34"/>
    </row>
    <row r="25" spans="6:14" x14ac:dyDescent="0.25">
      <c r="F25" s="31" t="s">
        <v>362</v>
      </c>
      <c r="G25" s="32">
        <f>+D50</f>
        <v>1.0135187290541907</v>
      </c>
      <c r="H25" s="33">
        <f>+K25/J25</f>
        <v>0.81148596825653097</v>
      </c>
      <c r="I25" s="33">
        <v>0.91669999999999996</v>
      </c>
      <c r="J25" s="34">
        <v>10108473</v>
      </c>
      <c r="K25" s="34">
        <v>8202884</v>
      </c>
      <c r="L25" s="34"/>
      <c r="M25" s="34">
        <f t="shared" si="0"/>
        <v>8202884</v>
      </c>
      <c r="N25" s="34"/>
    </row>
    <row r="26" spans="6:14" ht="5.45" customHeight="1" x14ac:dyDescent="0.25">
      <c r="F26" s="31"/>
      <c r="G26" s="32"/>
      <c r="H26" s="33"/>
      <c r="I26" s="33"/>
      <c r="J26" s="34"/>
      <c r="K26" s="34"/>
      <c r="L26" s="34"/>
      <c r="M26" s="34">
        <f t="shared" si="0"/>
        <v>0</v>
      </c>
      <c r="N26" s="34"/>
    </row>
    <row r="27" spans="6:14" x14ac:dyDescent="0.25">
      <c r="F27" s="31" t="s">
        <v>378</v>
      </c>
      <c r="G27" s="32">
        <f>+D51</f>
        <v>1.0063435085849859</v>
      </c>
      <c r="H27" s="33">
        <f>+K27/J27</f>
        <v>1.1305458481302793</v>
      </c>
      <c r="I27" s="33">
        <v>0.91669999999999996</v>
      </c>
      <c r="J27" s="34">
        <v>14135800</v>
      </c>
      <c r="K27" s="34">
        <v>15981170</v>
      </c>
      <c r="L27" s="34">
        <v>0</v>
      </c>
      <c r="M27" s="34">
        <f t="shared" si="0"/>
        <v>15981170</v>
      </c>
      <c r="N27" s="34"/>
    </row>
    <row r="28" spans="6:14" ht="5.45" customHeight="1" x14ac:dyDescent="0.25">
      <c r="F28" s="31"/>
      <c r="G28" s="32"/>
      <c r="H28" s="33"/>
      <c r="I28" s="33"/>
      <c r="J28" s="34"/>
      <c r="K28" s="34"/>
      <c r="L28" s="34"/>
      <c r="M28" s="34">
        <f t="shared" si="0"/>
        <v>0</v>
      </c>
      <c r="N28" s="34"/>
    </row>
    <row r="29" spans="6:14" x14ac:dyDescent="0.25">
      <c r="F29" s="31" t="s">
        <v>469</v>
      </c>
      <c r="G29" s="32">
        <f>+D52</f>
        <v>0.91261892579134518</v>
      </c>
      <c r="H29" s="33">
        <f>+K29/J29</f>
        <v>0.85722438953908398</v>
      </c>
      <c r="I29" s="33">
        <v>0.91669999999999996</v>
      </c>
      <c r="J29" s="34">
        <v>692100</v>
      </c>
      <c r="K29" s="34">
        <v>593285</v>
      </c>
      <c r="L29" s="34"/>
      <c r="M29" s="34">
        <f t="shared" si="0"/>
        <v>593285</v>
      </c>
      <c r="N29" s="34"/>
    </row>
    <row r="30" spans="6:14" ht="5.45" customHeight="1" x14ac:dyDescent="0.25">
      <c r="F30" s="31"/>
      <c r="G30" s="32"/>
      <c r="H30" s="33"/>
      <c r="I30" s="33"/>
      <c r="J30" s="34"/>
      <c r="K30" s="34"/>
      <c r="L30" s="34"/>
      <c r="M30" s="34">
        <f t="shared" si="0"/>
        <v>0</v>
      </c>
      <c r="N30" s="34"/>
    </row>
    <row r="31" spans="6:14" x14ac:dyDescent="0.25">
      <c r="F31" s="31" t="s">
        <v>406</v>
      </c>
      <c r="G31" s="32">
        <f>+D53</f>
        <v>7.4635256410256412</v>
      </c>
      <c r="H31" s="33">
        <f>+K31/J31</f>
        <v>0.85382470119521914</v>
      </c>
      <c r="I31" s="33">
        <v>0.91669999999999996</v>
      </c>
      <c r="J31" s="34">
        <v>175700</v>
      </c>
      <c r="K31" s="34">
        <v>150017</v>
      </c>
      <c r="L31" s="34"/>
      <c r="M31" s="34">
        <f t="shared" si="0"/>
        <v>150017</v>
      </c>
      <c r="N31" s="34"/>
    </row>
    <row r="32" spans="6:14" ht="5.45" customHeight="1" x14ac:dyDescent="0.25">
      <c r="F32" s="31"/>
      <c r="G32" s="32"/>
      <c r="H32" s="33"/>
      <c r="I32" s="33"/>
      <c r="J32" s="34"/>
      <c r="K32" s="34"/>
      <c r="L32" s="34"/>
      <c r="M32" s="34">
        <f t="shared" si="0"/>
        <v>0</v>
      </c>
      <c r="N32" s="34"/>
    </row>
    <row r="33" spans="1:14" x14ac:dyDescent="0.25">
      <c r="F33" s="31" t="s">
        <v>407</v>
      </c>
      <c r="G33" s="32">
        <f>+D54</f>
        <v>1.7723418912194536E-2</v>
      </c>
      <c r="H33" s="33">
        <f>+K33/J33</f>
        <v>6.0233516672396012</v>
      </c>
      <c r="I33" s="33">
        <v>0.91669999999999996</v>
      </c>
      <c r="J33" s="34">
        <v>290900</v>
      </c>
      <c r="K33" s="34">
        <v>1752193</v>
      </c>
      <c r="L33" s="34"/>
      <c r="M33" s="34">
        <f t="shared" si="0"/>
        <v>1752193</v>
      </c>
      <c r="N33" s="34"/>
    </row>
    <row r="34" spans="1:14" ht="5.45" customHeight="1" x14ac:dyDescent="0.25">
      <c r="F34" s="31"/>
      <c r="G34" s="32"/>
      <c r="H34" s="33"/>
      <c r="I34" s="33"/>
      <c r="J34" s="34"/>
      <c r="K34" s="34"/>
      <c r="L34" s="34"/>
      <c r="M34" s="34">
        <f t="shared" si="0"/>
        <v>0</v>
      </c>
      <c r="N34" s="34"/>
    </row>
    <row r="35" spans="1:14" x14ac:dyDescent="0.25">
      <c r="F35" s="31" t="s">
        <v>410</v>
      </c>
      <c r="G35" s="32">
        <f>+D55</f>
        <v>1.0675647153963792</v>
      </c>
      <c r="H35" s="33">
        <f>+K35/J35</f>
        <v>0.79319205027982997</v>
      </c>
      <c r="I35" s="33">
        <v>0.91669999999999996</v>
      </c>
      <c r="J35" s="34">
        <v>2423079</v>
      </c>
      <c r="K35" s="34">
        <v>1921967</v>
      </c>
      <c r="L35" s="34"/>
      <c r="M35" s="34">
        <f t="shared" si="0"/>
        <v>1921967</v>
      </c>
      <c r="N35" s="34"/>
    </row>
    <row r="36" spans="1:14" x14ac:dyDescent="0.25">
      <c r="J36" s="34">
        <f>SUM(J21:J35)</f>
        <v>132662999</v>
      </c>
      <c r="K36" s="34">
        <f>SUM(K21:K35)</f>
        <v>136283076</v>
      </c>
      <c r="L36" s="34">
        <f>SUM(L21:L35)</f>
        <v>0</v>
      </c>
      <c r="M36" s="34">
        <f>SUM(M21:M35)</f>
        <v>136283076</v>
      </c>
      <c r="N36" s="34"/>
    </row>
    <row r="38" spans="1:14" x14ac:dyDescent="0.25">
      <c r="M38" s="35">
        <f>123921269-69759.94+666640</f>
        <v>124518149.06</v>
      </c>
    </row>
    <row r="40" spans="1:14" x14ac:dyDescent="0.25">
      <c r="A40" s="36" t="s">
        <v>425</v>
      </c>
      <c r="B40" s="36"/>
      <c r="C40" s="36"/>
      <c r="D40" s="36"/>
      <c r="E40" s="36"/>
    </row>
    <row r="41" spans="1:14" x14ac:dyDescent="0.25">
      <c r="A41" s="36"/>
      <c r="B41" s="36"/>
      <c r="C41" s="36"/>
      <c r="D41" s="36"/>
      <c r="E41" s="36"/>
      <c r="F41" s="37">
        <v>8.3333333333333328E-4</v>
      </c>
    </row>
    <row r="42" spans="1:14" x14ac:dyDescent="0.25">
      <c r="A42" s="36"/>
      <c r="B42" s="36"/>
      <c r="C42" s="36"/>
      <c r="D42" s="36"/>
      <c r="E42" s="36"/>
      <c r="F42" s="38">
        <v>8.3333333333333328E-4</v>
      </c>
      <c r="I42" s="25">
        <v>1</v>
      </c>
    </row>
    <row r="43" spans="1:14" x14ac:dyDescent="0.25">
      <c r="A43" s="36"/>
      <c r="B43" s="36"/>
      <c r="C43" s="36"/>
      <c r="D43" s="36"/>
      <c r="E43" s="36"/>
      <c r="I43" s="25">
        <v>12</v>
      </c>
    </row>
    <row r="44" spans="1:14" x14ac:dyDescent="0.25">
      <c r="A44" s="36"/>
      <c r="B44" s="36"/>
      <c r="C44" s="36"/>
      <c r="D44" s="36"/>
      <c r="E44" s="36"/>
      <c r="I44" s="37">
        <f>+I42/I43</f>
        <v>8.3333333333333329E-2</v>
      </c>
    </row>
    <row r="45" spans="1:14" x14ac:dyDescent="0.25">
      <c r="A45" s="36"/>
      <c r="B45" s="36"/>
      <c r="C45" s="36"/>
      <c r="D45" s="36"/>
      <c r="E45" s="36"/>
    </row>
    <row r="46" spans="1:14" x14ac:dyDescent="0.25">
      <c r="A46" s="36"/>
      <c r="B46" s="36"/>
      <c r="C46" s="36"/>
      <c r="D46" s="36"/>
      <c r="E46" s="36"/>
    </row>
    <row r="47" spans="1:14" x14ac:dyDescent="0.25">
      <c r="A47" s="39" t="s">
        <v>414</v>
      </c>
      <c r="B47" s="39" t="s">
        <v>415</v>
      </c>
      <c r="C47" s="39" t="s">
        <v>420</v>
      </c>
      <c r="D47" s="40" t="s">
        <v>416</v>
      </c>
      <c r="E47" s="40" t="s">
        <v>417</v>
      </c>
    </row>
    <row r="48" spans="1:14" x14ac:dyDescent="0.25">
      <c r="A48" s="31" t="s">
        <v>418</v>
      </c>
      <c r="B48" s="41">
        <f>+'Revenues 24'!G16</f>
        <v>109169986</v>
      </c>
      <c r="C48" s="41">
        <f>+'Revenues 24'!I16</f>
        <v>101333464</v>
      </c>
      <c r="D48" s="42">
        <f>+C48/B48</f>
        <v>0.92821724828287511</v>
      </c>
      <c r="E48" s="43">
        <v>0.91669999999999996</v>
      </c>
      <c r="F48" s="32">
        <f>+D48-E48</f>
        <v>1.1517248282875148E-2</v>
      </c>
    </row>
    <row r="49" spans="1:7" x14ac:dyDescent="0.25">
      <c r="A49" s="31" t="s">
        <v>419</v>
      </c>
      <c r="B49" s="41">
        <f>+'Revenues 24'!G27</f>
        <v>3958000</v>
      </c>
      <c r="C49" s="41">
        <f>+'Revenues 24'!I27</f>
        <v>5756256</v>
      </c>
      <c r="D49" s="42">
        <f t="shared" ref="D49:D55" si="1">+C49/B49</f>
        <v>1.4543345123799898</v>
      </c>
      <c r="E49" s="43">
        <v>0.91669999999999996</v>
      </c>
      <c r="F49" s="32">
        <f t="shared" ref="F49:F55" si="2">+D49-E49</f>
        <v>0.53763451237998983</v>
      </c>
    </row>
    <row r="50" spans="1:7" x14ac:dyDescent="0.25">
      <c r="A50" s="31" t="s">
        <v>362</v>
      </c>
      <c r="B50" s="41">
        <f>+'Revenues 24'!G47</f>
        <v>10783780</v>
      </c>
      <c r="C50" s="41">
        <f>+'Revenues 24'!I47</f>
        <v>10929563</v>
      </c>
      <c r="D50" s="42">
        <f t="shared" si="1"/>
        <v>1.0135187290541907</v>
      </c>
      <c r="E50" s="43">
        <v>0.91669999999999996</v>
      </c>
      <c r="F50" s="32">
        <f t="shared" si="2"/>
        <v>9.6818729054190755E-2</v>
      </c>
    </row>
    <row r="51" spans="1:7" x14ac:dyDescent="0.25">
      <c r="A51" s="31" t="s">
        <v>378</v>
      </c>
      <c r="B51" s="41">
        <f>+'Revenues 24'!G73</f>
        <v>14127513</v>
      </c>
      <c r="C51" s="41">
        <f>+'Revenues 24'!I73</f>
        <v>14217131</v>
      </c>
      <c r="D51" s="42">
        <f t="shared" si="1"/>
        <v>1.0063435085849859</v>
      </c>
      <c r="E51" s="43">
        <v>0.91669999999999996</v>
      </c>
      <c r="F51" s="32">
        <f t="shared" si="2"/>
        <v>8.9643508584985931E-2</v>
      </c>
    </row>
    <row r="52" spans="1:7" x14ac:dyDescent="0.25">
      <c r="A52" s="31" t="s">
        <v>399</v>
      </c>
      <c r="B52" s="41">
        <f>+'Revenues 24'!G84</f>
        <v>770018</v>
      </c>
      <c r="C52" s="41">
        <f>+'Revenues 24'!I84</f>
        <v>702733</v>
      </c>
      <c r="D52" s="42">
        <f t="shared" si="1"/>
        <v>0.91261892579134518</v>
      </c>
      <c r="E52" s="43">
        <v>0.91669999999999996</v>
      </c>
      <c r="F52" s="32">
        <f t="shared" si="2"/>
        <v>-4.081074208654778E-3</v>
      </c>
    </row>
    <row r="53" spans="1:7" x14ac:dyDescent="0.25">
      <c r="A53" s="31" t="s">
        <v>406</v>
      </c>
      <c r="B53" s="41">
        <f>+'Revenues 24'!G86</f>
        <v>156000</v>
      </c>
      <c r="C53" s="41">
        <f>+'Revenues 24'!I86</f>
        <v>1164310</v>
      </c>
      <c r="D53" s="42">
        <f t="shared" si="1"/>
        <v>7.4635256410256412</v>
      </c>
      <c r="E53" s="43">
        <v>0.91669999999999996</v>
      </c>
      <c r="F53" s="32">
        <f t="shared" si="2"/>
        <v>6.5468256410256416</v>
      </c>
    </row>
    <row r="54" spans="1:7" x14ac:dyDescent="0.25">
      <c r="A54" s="31" t="s">
        <v>521</v>
      </c>
      <c r="B54" s="41">
        <f>+'Revenues 24'!G93</f>
        <v>32111863</v>
      </c>
      <c r="C54" s="41">
        <f>+'Revenues 24'!I93</f>
        <v>569132</v>
      </c>
      <c r="D54" s="42">
        <f t="shared" si="1"/>
        <v>1.7723418912194536E-2</v>
      </c>
      <c r="E54" s="43">
        <v>0.91669999999999996</v>
      </c>
      <c r="F54" s="32">
        <f t="shared" si="2"/>
        <v>-0.89897658108780543</v>
      </c>
    </row>
    <row r="55" spans="1:7" x14ac:dyDescent="0.25">
      <c r="A55" s="31" t="s">
        <v>410</v>
      </c>
      <c r="B55" s="41">
        <f>+'Revenues 24'!G100</f>
        <v>3122325</v>
      </c>
      <c r="C55" s="41">
        <f>+'Revenues 24'!I100</f>
        <v>3333284</v>
      </c>
      <c r="D55" s="42">
        <f t="shared" si="1"/>
        <v>1.0675647153963792</v>
      </c>
      <c r="E55" s="43">
        <v>0.91669999999999996</v>
      </c>
      <c r="F55" s="32">
        <f t="shared" si="2"/>
        <v>0.15086471539637925</v>
      </c>
    </row>
    <row r="56" spans="1:7" x14ac:dyDescent="0.25">
      <c r="A56" s="44" t="s">
        <v>433</v>
      </c>
      <c r="B56" s="45"/>
      <c r="C56" s="45"/>
      <c r="D56" s="46"/>
      <c r="E56" s="47"/>
    </row>
    <row r="57" spans="1:7" ht="5.25" customHeight="1" x14ac:dyDescent="0.25">
      <c r="A57" s="36"/>
      <c r="B57" s="68"/>
      <c r="C57" s="68"/>
      <c r="D57" s="69"/>
      <c r="E57" s="70"/>
    </row>
    <row r="58" spans="1:7" x14ac:dyDescent="0.25">
      <c r="A58" s="25" t="s">
        <v>561</v>
      </c>
      <c r="B58" s="79"/>
      <c r="C58" s="79"/>
      <c r="D58" s="80"/>
      <c r="E58" s="70"/>
    </row>
    <row r="59" spans="1:7" x14ac:dyDescent="0.25">
      <c r="A59" s="25" t="s">
        <v>562</v>
      </c>
      <c r="B59" s="79"/>
      <c r="C59" s="79"/>
      <c r="D59" s="80"/>
      <c r="E59" s="70"/>
    </row>
    <row r="60" spans="1:7" x14ac:dyDescent="0.25">
      <c r="A60" s="25" t="s">
        <v>563</v>
      </c>
      <c r="B60" s="79"/>
      <c r="C60" s="79"/>
      <c r="D60" s="80"/>
      <c r="E60" s="70"/>
    </row>
    <row r="61" spans="1:7" x14ac:dyDescent="0.25">
      <c r="A61" s="25" t="s">
        <v>486</v>
      </c>
      <c r="B61" s="79"/>
      <c r="C61" s="79"/>
      <c r="D61" s="80"/>
      <c r="E61" s="70"/>
      <c r="G61" s="25">
        <f>4/12</f>
        <v>0.33333333333333331</v>
      </c>
    </row>
    <row r="62" spans="1:7" x14ac:dyDescent="0.25">
      <c r="A62" s="25" t="s">
        <v>518</v>
      </c>
      <c r="B62" s="79"/>
      <c r="C62" s="79"/>
      <c r="D62" s="80"/>
      <c r="E62" s="70"/>
    </row>
    <row r="63" spans="1:7" x14ac:dyDescent="0.25">
      <c r="A63" s="25" t="s">
        <v>522</v>
      </c>
      <c r="B63" s="79"/>
      <c r="C63" s="79"/>
      <c r="D63" s="80"/>
      <c r="E63" s="70"/>
    </row>
    <row r="64" spans="1:7" x14ac:dyDescent="0.25">
      <c r="A64" s="26"/>
      <c r="B64" s="48"/>
      <c r="C64" s="48"/>
      <c r="D64" s="49"/>
      <c r="E64" s="47"/>
    </row>
    <row r="65" spans="1:13" ht="18.75" x14ac:dyDescent="0.3">
      <c r="A65" s="100" t="s">
        <v>413</v>
      </c>
      <c r="B65" s="100"/>
      <c r="C65" s="100"/>
      <c r="D65" s="100"/>
      <c r="E65" s="100"/>
    </row>
    <row r="66" spans="1:13" ht="15.75" x14ac:dyDescent="0.25">
      <c r="A66" s="101" t="str">
        <f>+A2</f>
        <v>Through June 30, 2023</v>
      </c>
      <c r="B66" s="101"/>
      <c r="C66" s="101"/>
      <c r="D66" s="101"/>
      <c r="E66" s="101"/>
    </row>
    <row r="67" spans="1:13" x14ac:dyDescent="0.25">
      <c r="A67" s="50"/>
      <c r="B67" s="50"/>
      <c r="C67" s="50"/>
      <c r="D67" s="30"/>
      <c r="E67" s="30"/>
    </row>
    <row r="68" spans="1:13" ht="15.75" x14ac:dyDescent="0.25">
      <c r="A68" s="26"/>
      <c r="B68" s="48"/>
      <c r="C68" s="27" t="s">
        <v>434</v>
      </c>
      <c r="D68" s="51"/>
      <c r="E68" s="52"/>
    </row>
    <row r="69" spans="1:13" x14ac:dyDescent="0.25">
      <c r="A69" s="26" t="s">
        <v>520</v>
      </c>
      <c r="B69" s="48"/>
      <c r="C69" s="48">
        <f>+Expenses!G90</f>
        <v>167515771</v>
      </c>
      <c r="D69" s="54"/>
      <c r="E69" s="52"/>
    </row>
    <row r="70" spans="1:13" hidden="1" x14ac:dyDescent="0.25">
      <c r="A70" s="26" t="s">
        <v>474</v>
      </c>
      <c r="B70" s="48"/>
      <c r="C70" s="48">
        <v>0</v>
      </c>
      <c r="D70" s="51"/>
      <c r="E70" s="52"/>
    </row>
    <row r="71" spans="1:13" hidden="1" x14ac:dyDescent="0.25">
      <c r="A71" s="26" t="s">
        <v>473</v>
      </c>
      <c r="B71" s="48"/>
      <c r="C71" s="48">
        <v>0</v>
      </c>
      <c r="D71" s="53"/>
      <c r="E71" s="52"/>
    </row>
    <row r="72" spans="1:13" hidden="1" x14ac:dyDescent="0.25">
      <c r="A72" s="26" t="s">
        <v>484</v>
      </c>
      <c r="B72" s="48"/>
      <c r="C72" s="48">
        <f>SUM(C69:C71)</f>
        <v>167515771</v>
      </c>
      <c r="D72" s="54"/>
      <c r="E72" s="52"/>
    </row>
    <row r="73" spans="1:13" ht="15.75" thickBot="1" x14ac:dyDescent="0.3">
      <c r="A73" s="26"/>
      <c r="B73" s="48"/>
      <c r="C73" s="63">
        <f>+C69</f>
        <v>167515771</v>
      </c>
      <c r="D73" s="54"/>
      <c r="E73" s="52"/>
    </row>
    <row r="74" spans="1:13" ht="15.75" thickTop="1" x14ac:dyDescent="0.25">
      <c r="A74" s="26"/>
      <c r="B74" s="48"/>
      <c r="C74" s="48"/>
      <c r="D74" s="51"/>
      <c r="E74" s="52"/>
      <c r="J74" s="25">
        <v>122484</v>
      </c>
    </row>
    <row r="75" spans="1:13" x14ac:dyDescent="0.25">
      <c r="A75" s="26" t="s">
        <v>533</v>
      </c>
      <c r="B75" s="48"/>
      <c r="C75" s="48">
        <f>+Expenses!I90-'Executive summary'!C76</f>
        <v>148767678</v>
      </c>
      <c r="D75" s="51"/>
      <c r="E75" s="52"/>
    </row>
    <row r="76" spans="1:13" x14ac:dyDescent="0.25">
      <c r="A76" s="26" t="s">
        <v>532</v>
      </c>
      <c r="B76" s="48"/>
      <c r="C76" s="71">
        <v>4713022</v>
      </c>
      <c r="D76" s="51"/>
      <c r="E76" s="52"/>
    </row>
    <row r="77" spans="1:13" ht="15.75" thickBot="1" x14ac:dyDescent="0.3">
      <c r="A77" s="26" t="s">
        <v>503</v>
      </c>
      <c r="B77" s="48"/>
      <c r="C77" s="63">
        <f>+C69-C75-C76-3</f>
        <v>14035068</v>
      </c>
      <c r="D77" s="51"/>
      <c r="E77" s="52"/>
    </row>
    <row r="78" spans="1:13" ht="15.75" thickTop="1" x14ac:dyDescent="0.25">
      <c r="A78" s="26"/>
      <c r="B78" s="48"/>
      <c r="C78" s="48"/>
      <c r="D78" s="51"/>
      <c r="E78" s="52"/>
    </row>
    <row r="79" spans="1:13" x14ac:dyDescent="0.25">
      <c r="A79" s="26" t="s">
        <v>440</v>
      </c>
      <c r="B79" s="26"/>
      <c r="C79" s="29">
        <f>(C75+C76)/C73</f>
        <v>0.91621642000501557</v>
      </c>
      <c r="D79" s="51"/>
      <c r="E79" s="52"/>
      <c r="J79" s="30" t="s">
        <v>485</v>
      </c>
      <c r="K79" s="30">
        <v>2022</v>
      </c>
      <c r="L79" s="30">
        <v>2022</v>
      </c>
      <c r="M79" s="30">
        <v>2022</v>
      </c>
    </row>
    <row r="80" spans="1:13" x14ac:dyDescent="0.25">
      <c r="A80" s="26" t="s">
        <v>428</v>
      </c>
      <c r="B80" s="26"/>
      <c r="C80" s="29">
        <v>0.91669999999999996</v>
      </c>
      <c r="D80" s="51"/>
      <c r="E80" s="52"/>
      <c r="G80" s="25">
        <v>2023</v>
      </c>
      <c r="H80" s="25">
        <v>2022</v>
      </c>
      <c r="I80" s="25" t="s">
        <v>431</v>
      </c>
      <c r="J80" s="30" t="s">
        <v>432</v>
      </c>
      <c r="K80" s="30" t="s">
        <v>436</v>
      </c>
      <c r="L80" s="30" t="s">
        <v>437</v>
      </c>
      <c r="M80" s="30" t="s">
        <v>129</v>
      </c>
    </row>
    <row r="81" spans="2:13" x14ac:dyDescent="0.25">
      <c r="B81" s="55"/>
      <c r="C81" s="55"/>
      <c r="D81" s="51"/>
      <c r="E81" s="52"/>
      <c r="F81" s="25" t="s">
        <v>125</v>
      </c>
      <c r="G81" s="33">
        <f>+D111</f>
        <v>0.91331190333113743</v>
      </c>
      <c r="H81" s="33">
        <f>+K81/J81</f>
        <v>0.89559686507614367</v>
      </c>
      <c r="I81" s="33">
        <v>0.91669999999999996</v>
      </c>
      <c r="J81" s="34">
        <v>55470183</v>
      </c>
      <c r="K81" s="34">
        <v>49678922</v>
      </c>
      <c r="L81" s="34">
        <v>0</v>
      </c>
      <c r="M81" s="56">
        <f>+K81+L81</f>
        <v>49678922</v>
      </c>
    </row>
    <row r="82" spans="2:13" ht="4.1500000000000004" customHeight="1" x14ac:dyDescent="0.25">
      <c r="B82" s="55"/>
      <c r="C82" s="55"/>
      <c r="D82" s="51"/>
      <c r="E82" s="52"/>
      <c r="G82" s="33"/>
      <c r="H82" s="33"/>
      <c r="I82" s="33">
        <v>8.3299999999999999E-2</v>
      </c>
      <c r="J82" s="34"/>
      <c r="K82" s="34"/>
      <c r="L82" s="34"/>
      <c r="M82" s="34"/>
    </row>
    <row r="83" spans="2:13" x14ac:dyDescent="0.25">
      <c r="B83" s="55"/>
      <c r="C83" s="55"/>
      <c r="D83" s="51"/>
      <c r="E83" s="52"/>
      <c r="F83" s="25" t="s">
        <v>126</v>
      </c>
      <c r="G83" s="33">
        <f>+D112</f>
        <v>0.96339602961076987</v>
      </c>
      <c r="H83" s="33">
        <f>+K83/J83</f>
        <v>0.83044687629226832</v>
      </c>
      <c r="I83" s="33">
        <v>0.91669999999999996</v>
      </c>
      <c r="J83" s="34">
        <v>51089911</v>
      </c>
      <c r="K83" s="34">
        <v>42427457</v>
      </c>
      <c r="L83" s="34">
        <v>0</v>
      </c>
      <c r="M83" s="56">
        <f>+K83+L83</f>
        <v>42427457</v>
      </c>
    </row>
    <row r="84" spans="2:13" ht="4.1500000000000004" customHeight="1" x14ac:dyDescent="0.25">
      <c r="B84" s="55"/>
      <c r="C84" s="55"/>
      <c r="D84" s="51"/>
      <c r="E84" s="52"/>
      <c r="G84" s="33"/>
      <c r="H84" s="33"/>
      <c r="I84" s="33">
        <v>8.3299999999999999E-2</v>
      </c>
      <c r="J84" s="34"/>
      <c r="K84" s="34">
        <v>0</v>
      </c>
      <c r="L84" s="34"/>
      <c r="M84" s="34"/>
    </row>
    <row r="85" spans="2:13" x14ac:dyDescent="0.25">
      <c r="B85" s="55"/>
      <c r="C85" s="55"/>
      <c r="D85" s="51"/>
      <c r="E85" s="52"/>
      <c r="F85" s="25" t="s">
        <v>151</v>
      </c>
      <c r="G85" s="33">
        <f>+D113</f>
        <v>0.87156705109727828</v>
      </c>
      <c r="H85" s="33">
        <f>+K85/J85</f>
        <v>0.81761807677770804</v>
      </c>
      <c r="I85" s="33">
        <v>0.91669999999999996</v>
      </c>
      <c r="J85" s="34">
        <v>11572682</v>
      </c>
      <c r="K85" s="34">
        <v>9462034</v>
      </c>
      <c r="L85" s="34">
        <v>0</v>
      </c>
      <c r="M85" s="56">
        <f>+K85+L85</f>
        <v>9462034</v>
      </c>
    </row>
    <row r="86" spans="2:13" ht="4.1500000000000004" customHeight="1" x14ac:dyDescent="0.25">
      <c r="B86" s="55"/>
      <c r="C86" s="55"/>
      <c r="D86" s="51"/>
      <c r="E86" s="52"/>
      <c r="G86" s="33"/>
      <c r="H86" s="33"/>
      <c r="I86" s="33" t="s">
        <v>487</v>
      </c>
      <c r="J86" s="34"/>
      <c r="K86" s="34">
        <v>0</v>
      </c>
      <c r="L86" s="34"/>
      <c r="M86" s="34"/>
    </row>
    <row r="87" spans="2:13" x14ac:dyDescent="0.25">
      <c r="B87" s="55"/>
      <c r="C87" s="55"/>
      <c r="D87" s="51"/>
      <c r="E87" s="52"/>
      <c r="F87" s="25" t="s">
        <v>421</v>
      </c>
      <c r="G87" s="33">
        <f>+D114</f>
        <v>0.89329223550946657</v>
      </c>
      <c r="H87" s="33">
        <f>+K87/J87</f>
        <v>0.9026500060001541</v>
      </c>
      <c r="I87" s="33">
        <v>0.91669999999999996</v>
      </c>
      <c r="J87" s="34">
        <v>3491577</v>
      </c>
      <c r="K87" s="34">
        <v>3151672</v>
      </c>
      <c r="L87" s="34">
        <v>0</v>
      </c>
      <c r="M87" s="56">
        <f>+K87+L87</f>
        <v>3151672</v>
      </c>
    </row>
    <row r="88" spans="2:13" ht="4.1500000000000004" customHeight="1" x14ac:dyDescent="0.25">
      <c r="B88" s="55"/>
      <c r="C88" s="55"/>
      <c r="D88" s="51"/>
      <c r="E88" s="52"/>
      <c r="G88" s="33"/>
      <c r="H88" s="33"/>
      <c r="I88" s="33" t="s">
        <v>487</v>
      </c>
      <c r="J88" s="34"/>
      <c r="K88" s="34"/>
      <c r="L88" s="34"/>
      <c r="M88" s="34"/>
    </row>
    <row r="89" spans="2:13" x14ac:dyDescent="0.25">
      <c r="B89" s="55"/>
      <c r="C89" s="55"/>
      <c r="D89" s="51"/>
      <c r="E89" s="52"/>
      <c r="F89" s="25" t="s">
        <v>424</v>
      </c>
      <c r="G89" s="33">
        <f>+D115</f>
        <v>0.89159910539558285</v>
      </c>
      <c r="H89" s="33">
        <f>+K89/J89</f>
        <v>1.0053624759209212</v>
      </c>
      <c r="I89" s="33">
        <v>0.91669999999999996</v>
      </c>
      <c r="J89" s="34">
        <v>633849</v>
      </c>
      <c r="K89" s="34">
        <v>637248</v>
      </c>
      <c r="L89" s="34">
        <v>0</v>
      </c>
      <c r="M89" s="56">
        <f>+K89+L89</f>
        <v>637248</v>
      </c>
    </row>
    <row r="90" spans="2:13" ht="4.1500000000000004" customHeight="1" x14ac:dyDescent="0.25">
      <c r="B90" s="55"/>
      <c r="C90" s="55"/>
      <c r="D90" s="51"/>
      <c r="E90" s="52"/>
      <c r="G90" s="33"/>
      <c r="H90" s="33"/>
      <c r="I90" s="33">
        <v>8.3299999999999999E-2</v>
      </c>
      <c r="J90" s="34"/>
      <c r="K90" s="34"/>
      <c r="L90" s="34"/>
      <c r="M90" s="34"/>
    </row>
    <row r="91" spans="2:13" x14ac:dyDescent="0.25">
      <c r="B91" s="55"/>
      <c r="C91" s="55"/>
      <c r="D91" s="51"/>
      <c r="E91" s="52"/>
      <c r="F91" s="25" t="s">
        <v>422</v>
      </c>
      <c r="G91" s="33">
        <f>+D116</f>
        <v>0.77694949727281826</v>
      </c>
      <c r="H91" s="33">
        <f>+K91/J91</f>
        <v>0.8136962811487618</v>
      </c>
      <c r="I91" s="33">
        <v>0.91669999999999996</v>
      </c>
      <c r="J91" s="34">
        <v>14644603</v>
      </c>
      <c r="K91" s="34">
        <v>11916259</v>
      </c>
      <c r="L91" s="34">
        <v>0</v>
      </c>
      <c r="M91" s="56">
        <f>+K91+L91</f>
        <v>11916259</v>
      </c>
    </row>
    <row r="92" spans="2:13" ht="4.1500000000000004" customHeight="1" x14ac:dyDescent="0.25">
      <c r="B92" s="55"/>
      <c r="C92" s="55"/>
      <c r="D92" s="51"/>
      <c r="E92" s="52"/>
      <c r="G92" s="33"/>
      <c r="H92" s="33"/>
      <c r="I92" s="33">
        <v>8.3299999999999999E-2</v>
      </c>
      <c r="J92" s="34"/>
      <c r="K92" s="34"/>
      <c r="L92" s="34"/>
      <c r="M92" s="34"/>
    </row>
    <row r="93" spans="2:13" x14ac:dyDescent="0.25">
      <c r="B93" s="55"/>
      <c r="C93" s="55"/>
      <c r="D93" s="51"/>
      <c r="E93" s="52"/>
      <c r="F93" s="25" t="s">
        <v>423</v>
      </c>
      <c r="G93" s="33" t="e">
        <f>+D117</f>
        <v>#DIV/0!</v>
      </c>
      <c r="H93" s="33">
        <f>+K93/J93</f>
        <v>5.9012706736587335</v>
      </c>
      <c r="I93" s="33">
        <v>0.91669999999999996</v>
      </c>
      <c r="J93" s="34">
        <v>426388</v>
      </c>
      <c r="K93" s="34">
        <f>2179100+337131</f>
        <v>2516231</v>
      </c>
      <c r="L93" s="34">
        <v>0</v>
      </c>
      <c r="M93" s="56">
        <f>+K93+L93</f>
        <v>2516231</v>
      </c>
    </row>
    <row r="94" spans="2:13" x14ac:dyDescent="0.25">
      <c r="B94" s="55"/>
      <c r="C94" s="55"/>
      <c r="D94" s="51"/>
      <c r="E94" s="52"/>
      <c r="J94" s="57">
        <f>SUM(J81:J93)</f>
        <v>137329193</v>
      </c>
      <c r="K94" s="57">
        <f>SUM(K81:K93)</f>
        <v>119789823</v>
      </c>
      <c r="L94" s="57">
        <f>SUM(L81:L93)</f>
        <v>0</v>
      </c>
      <c r="M94" s="57">
        <f>SUM(M81:M93)</f>
        <v>119789823</v>
      </c>
    </row>
    <row r="95" spans="2:13" x14ac:dyDescent="0.25">
      <c r="B95" s="55"/>
      <c r="C95" s="55"/>
      <c r="D95" s="51"/>
      <c r="E95" s="52"/>
      <c r="M95" s="34">
        <f>112006829+4611643</f>
        <v>116618472</v>
      </c>
    </row>
    <row r="96" spans="2:13" x14ac:dyDescent="0.25">
      <c r="B96" s="58"/>
      <c r="C96" s="58"/>
    </row>
    <row r="97" spans="1:7" x14ac:dyDescent="0.25">
      <c r="B97" s="58"/>
      <c r="C97" s="58"/>
    </row>
    <row r="98" spans="1:7" x14ac:dyDescent="0.25">
      <c r="B98" s="58"/>
      <c r="C98" s="58"/>
    </row>
    <row r="99" spans="1:7" x14ac:dyDescent="0.25">
      <c r="B99" s="58"/>
      <c r="C99" s="58"/>
    </row>
    <row r="100" spans="1:7" x14ac:dyDescent="0.25">
      <c r="B100" s="58"/>
      <c r="C100" s="58"/>
    </row>
    <row r="101" spans="1:7" x14ac:dyDescent="0.25">
      <c r="B101" s="58"/>
      <c r="C101" s="58"/>
    </row>
    <row r="102" spans="1:7" x14ac:dyDescent="0.25">
      <c r="B102" s="58"/>
      <c r="C102" s="58"/>
    </row>
    <row r="103" spans="1:7" x14ac:dyDescent="0.25">
      <c r="B103" s="58"/>
      <c r="C103" s="58"/>
    </row>
    <row r="104" spans="1:7" x14ac:dyDescent="0.25">
      <c r="B104" s="58"/>
      <c r="C104" s="58"/>
    </row>
    <row r="105" spans="1:7" x14ac:dyDescent="0.25">
      <c r="B105" s="58"/>
      <c r="C105" s="58"/>
    </row>
    <row r="106" spans="1:7" x14ac:dyDescent="0.25">
      <c r="B106" s="58"/>
      <c r="C106" s="58"/>
    </row>
    <row r="107" spans="1:7" x14ac:dyDescent="0.25">
      <c r="B107" s="58"/>
      <c r="C107" s="58"/>
    </row>
    <row r="108" spans="1:7" x14ac:dyDescent="0.25">
      <c r="B108" s="58"/>
      <c r="C108" s="58"/>
      <c r="F108" s="25">
        <f>1/12</f>
        <v>8.3333333333333329E-2</v>
      </c>
    </row>
    <row r="109" spans="1:7" x14ac:dyDescent="0.25">
      <c r="A109" s="36" t="s">
        <v>426</v>
      </c>
      <c r="B109" s="36"/>
      <c r="C109" s="59"/>
      <c r="D109" s="36"/>
      <c r="E109" s="36"/>
    </row>
    <row r="110" spans="1:7" x14ac:dyDescent="0.25">
      <c r="A110" s="39" t="s">
        <v>414</v>
      </c>
      <c r="B110" s="39" t="s">
        <v>415</v>
      </c>
      <c r="C110" s="39" t="s">
        <v>420</v>
      </c>
      <c r="D110" s="40" t="s">
        <v>416</v>
      </c>
      <c r="E110" s="40" t="s">
        <v>417</v>
      </c>
    </row>
    <row r="111" spans="1:7" x14ac:dyDescent="0.25">
      <c r="A111" s="31" t="s">
        <v>125</v>
      </c>
      <c r="B111" s="41">
        <f>+Expenses!G37</f>
        <v>86798249</v>
      </c>
      <c r="C111" s="41">
        <f>+Expenses!I37</f>
        <v>79273874</v>
      </c>
      <c r="D111" s="42">
        <f>+C111/B111</f>
        <v>0.91331190333113743</v>
      </c>
      <c r="E111" s="43">
        <v>0.91669999999999996</v>
      </c>
      <c r="F111" s="32">
        <f>+E111-D111</f>
        <v>3.388096668862528E-3</v>
      </c>
      <c r="G111" s="35">
        <f>+B111*F111</f>
        <v>294080.85830000025</v>
      </c>
    </row>
    <row r="112" spans="1:7" x14ac:dyDescent="0.25">
      <c r="A112" s="31" t="s">
        <v>126</v>
      </c>
      <c r="B112" s="41">
        <f>+Expenses!G48</f>
        <v>53302633</v>
      </c>
      <c r="C112" s="41">
        <f>+Expenses!I48</f>
        <v>51351545</v>
      </c>
      <c r="D112" s="42">
        <f t="shared" ref="D112:D116" si="3">+C112/B112</f>
        <v>0.96339602961076987</v>
      </c>
      <c r="E112" s="43">
        <v>0.91669999999999996</v>
      </c>
      <c r="F112" s="32">
        <f t="shared" ref="F112:F117" si="4">+E112-D112</f>
        <v>-4.6696029610769907E-2</v>
      </c>
      <c r="G112" s="35">
        <f t="shared" ref="G112:G116" si="5">+B112*F112</f>
        <v>-2489021.328900001</v>
      </c>
    </row>
    <row r="113" spans="1:7" x14ac:dyDescent="0.25">
      <c r="A113" s="31" t="s">
        <v>151</v>
      </c>
      <c r="B113" s="41">
        <f>+Expenses!G54</f>
        <v>13285189</v>
      </c>
      <c r="C113" s="41">
        <f>+Expenses!I54</f>
        <v>11578933</v>
      </c>
      <c r="D113" s="42">
        <f t="shared" si="3"/>
        <v>0.87156705109727828</v>
      </c>
      <c r="E113" s="43">
        <v>0.91669999999999996</v>
      </c>
      <c r="F113" s="32">
        <f t="shared" si="4"/>
        <v>4.5132948902721681E-2</v>
      </c>
      <c r="G113" s="35">
        <f t="shared" si="5"/>
        <v>599599.75630000012</v>
      </c>
    </row>
    <row r="114" spans="1:7" x14ac:dyDescent="0.25">
      <c r="A114" s="31" t="s">
        <v>421</v>
      </c>
      <c r="B114" s="41">
        <f>+Expenses!G59</f>
        <v>1901155</v>
      </c>
      <c r="C114" s="41">
        <f>+Expenses!I59</f>
        <v>1698287</v>
      </c>
      <c r="D114" s="42">
        <f t="shared" si="3"/>
        <v>0.89329223550946657</v>
      </c>
      <c r="E114" s="43">
        <v>0.91669999999999996</v>
      </c>
      <c r="F114" s="32">
        <f t="shared" si="4"/>
        <v>2.3407764490533389E-2</v>
      </c>
      <c r="G114" s="35">
        <f t="shared" si="5"/>
        <v>44501.788500000002</v>
      </c>
    </row>
    <row r="115" spans="1:7" x14ac:dyDescent="0.25">
      <c r="A115" s="31" t="s">
        <v>472</v>
      </c>
      <c r="B115" s="41">
        <f>+Expenses!G64</f>
        <v>672476</v>
      </c>
      <c r="C115" s="41">
        <f>+Expenses!I64</f>
        <v>599579</v>
      </c>
      <c r="D115" s="42">
        <f t="shared" si="3"/>
        <v>0.89159910539558285</v>
      </c>
      <c r="E115" s="43">
        <v>0.91669999999999996</v>
      </c>
      <c r="F115" s="32">
        <f t="shared" si="4"/>
        <v>2.5100894604417112E-2</v>
      </c>
      <c r="G115" s="35">
        <f t="shared" si="5"/>
        <v>16879.749200000002</v>
      </c>
    </row>
    <row r="116" spans="1:7" x14ac:dyDescent="0.25">
      <c r="A116" s="31" t="s">
        <v>422</v>
      </c>
      <c r="B116" s="41">
        <f>+Expenses!G76</f>
        <v>11556069</v>
      </c>
      <c r="C116" s="41">
        <f>+Expenses!I76</f>
        <v>8978482</v>
      </c>
      <c r="D116" s="42">
        <f t="shared" si="3"/>
        <v>0.77694949727281826</v>
      </c>
      <c r="E116" s="43">
        <v>0.91669999999999996</v>
      </c>
      <c r="F116" s="32">
        <f t="shared" si="4"/>
        <v>0.1397505027271817</v>
      </c>
      <c r="G116" s="35">
        <f t="shared" si="5"/>
        <v>1614966.4523</v>
      </c>
    </row>
    <row r="117" spans="1:7" x14ac:dyDescent="0.25">
      <c r="A117" s="31" t="s">
        <v>515</v>
      </c>
      <c r="B117" s="41">
        <f>+Expenses!G88</f>
        <v>0</v>
      </c>
      <c r="C117" s="41">
        <f>+Expenses!I88</f>
        <v>0</v>
      </c>
      <c r="D117" s="42" t="e">
        <f t="shared" ref="D117" si="6">+C117/B117</f>
        <v>#DIV/0!</v>
      </c>
      <c r="E117" s="43">
        <v>0.91669999999999996</v>
      </c>
      <c r="F117" s="32" t="e">
        <f t="shared" si="4"/>
        <v>#DIV/0!</v>
      </c>
    </row>
    <row r="118" spans="1:7" x14ac:dyDescent="0.25">
      <c r="A118" s="36" t="s">
        <v>435</v>
      </c>
      <c r="B118" s="60"/>
      <c r="C118" s="60"/>
    </row>
    <row r="119" spans="1:7" x14ac:dyDescent="0.25">
      <c r="A119" s="25" t="s">
        <v>568</v>
      </c>
      <c r="B119" s="60"/>
      <c r="C119" s="60"/>
    </row>
    <row r="120" spans="1:7" x14ac:dyDescent="0.25">
      <c r="A120" s="25" t="s">
        <v>569</v>
      </c>
    </row>
    <row r="121" spans="1:7" x14ac:dyDescent="0.25">
      <c r="A121" s="25" t="s">
        <v>570</v>
      </c>
    </row>
    <row r="122" spans="1:7" x14ac:dyDescent="0.25">
      <c r="A122" s="25" t="s">
        <v>571</v>
      </c>
    </row>
    <row r="123" spans="1:7" x14ac:dyDescent="0.25">
      <c r="A123" s="25" t="s">
        <v>572</v>
      </c>
    </row>
  </sheetData>
  <mergeCells count="4">
    <mergeCell ref="A1:E1"/>
    <mergeCell ref="A2:E2"/>
    <mergeCell ref="A65:E65"/>
    <mergeCell ref="A66:E66"/>
  </mergeCells>
  <pageMargins left="0.7" right="0.7" top="0.75" bottom="0.75" header="0.3" footer="0.3"/>
  <pageSetup scale="71" orientation="portrait" horizontalDpi="1200" verticalDpi="1200" r:id="rId1"/>
  <rowBreaks count="1" manualBreakCount="1">
    <brk id="64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18"/>
  <sheetViews>
    <sheetView view="pageBreakPreview" zoomScale="130" zoomScaleNormal="115" zoomScaleSheetLayoutView="130" workbookViewId="0">
      <selection activeCell="C18" sqref="C18"/>
    </sheetView>
  </sheetViews>
  <sheetFormatPr defaultRowHeight="15" x14ac:dyDescent="0.25"/>
  <cols>
    <col min="1" max="1" width="4.7109375" customWidth="1"/>
    <col min="2" max="2" width="33.140625" customWidth="1"/>
    <col min="3" max="3" width="15.7109375" customWidth="1"/>
    <col min="4" max="4" width="1.7109375" customWidth="1"/>
    <col min="5" max="5" width="15.7109375" customWidth="1"/>
    <col min="6" max="6" width="1.7109375" customWidth="1"/>
    <col min="7" max="7" width="15.7109375" customWidth="1"/>
    <col min="8" max="8" width="1.7109375" customWidth="1"/>
    <col min="9" max="9" width="16.85546875" bestFit="1" customWidth="1"/>
    <col min="10" max="10" width="1.7109375" customWidth="1"/>
    <col min="11" max="11" width="15.7109375" customWidth="1"/>
    <col min="12" max="12" width="13.28515625" style="3" hidden="1" customWidth="1"/>
    <col min="13" max="13" width="8.85546875" style="7"/>
    <col min="14" max="14" width="22" style="7" bestFit="1" customWidth="1"/>
    <col min="15" max="15" width="17.5703125" style="7" bestFit="1" customWidth="1"/>
  </cols>
  <sheetData>
    <row r="1" spans="1:15" x14ac:dyDescent="0.25">
      <c r="A1" s="102" t="s">
        <v>146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5" x14ac:dyDescent="0.25">
      <c r="A2" s="103" t="s">
        <v>441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5" x14ac:dyDescent="0.25">
      <c r="A3" s="104" t="s">
        <v>586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6" spans="1:15" x14ac:dyDescent="0.25">
      <c r="C6" s="4" t="s">
        <v>127</v>
      </c>
      <c r="G6" s="4" t="s">
        <v>145</v>
      </c>
      <c r="I6" s="4"/>
      <c r="K6" s="4"/>
    </row>
    <row r="7" spans="1:15" x14ac:dyDescent="0.25">
      <c r="C7" s="4" t="s">
        <v>128</v>
      </c>
      <c r="G7" s="4" t="s">
        <v>128</v>
      </c>
      <c r="I7" s="4" t="s">
        <v>129</v>
      </c>
      <c r="K7" s="4"/>
    </row>
    <row r="8" spans="1:15" x14ac:dyDescent="0.25">
      <c r="C8" s="5">
        <v>45107</v>
      </c>
      <c r="E8" s="6" t="s">
        <v>540</v>
      </c>
      <c r="G8" s="5">
        <v>45107</v>
      </c>
      <c r="I8" s="5">
        <v>45107</v>
      </c>
      <c r="K8" s="6" t="s">
        <v>130</v>
      </c>
    </row>
    <row r="9" spans="1:15" x14ac:dyDescent="0.25">
      <c r="A9" s="14" t="s">
        <v>418</v>
      </c>
    </row>
    <row r="10" spans="1:15" x14ac:dyDescent="0.25">
      <c r="B10" t="s">
        <v>352</v>
      </c>
      <c r="C10" s="8">
        <f>ROUND(-(SUMIFS('Revenues detail  24'!$G$1:$G$149,'Revenues detail  24'!$O$149:'Revenues detail  24'!$O$1,1000000141010)+SUMIFS('Revenues detail  24'!$G$1:$G$149,'Revenues detail  24'!$O$149:'Revenues detail  24'!$O$1,1010000141010)+SUMIFS('Revenues detail  24'!$G$1:$G$149,'Revenues detail  24'!$O$149:'Revenues detail  24'!$O$1,1401000141010)+SUMIFS('Revenues detail  24'!$G$1:$G$149,'Revenues detail  24'!$O$149:'Revenues detail  24'!$O$1,1402000141010)+SUMIFS('Revenues detail  24'!$G$1:$G$149,'Revenues detail  24'!$O$149:'Revenues detail  24'!$O$1,1600000141010)+SUMIFS('Revenues detail  24'!$G$1:$G$149,'Revenues detail  24'!$O$149:'Revenues detail  24'!$O$1,1000000141011)),0)</f>
        <v>98883996</v>
      </c>
      <c r="D10" s="8"/>
      <c r="E10" s="8">
        <f>+G10-C10</f>
        <v>396840</v>
      </c>
      <c r="F10" s="8"/>
      <c r="G10" s="8">
        <f>ROUND(-(SUMIFS('Revenues detail  24'!$H$1:$H$149,'Revenues detail  24'!$O$149:'Revenues detail  24'!$O$1,1000000141010)+SUMIFS('Revenues detail  24'!$H$1:$H$149,'Revenues detail  24'!$O$149:'Revenues detail  24'!$O$1,1010000141010)+SUMIFS('Revenues detail  24'!$H$1:$H$149,'Revenues detail  24'!$O$149:'Revenues detail  24'!$O$1,1401000141010)+SUMIFS('Revenues detail  24'!$H$1:$H$149,'Revenues detail  24'!$O$149:'Revenues detail  24'!$O$1,1402000141010)+SUMIFS('Revenues detail  24'!$H$1:$H$149,'Revenues detail  24'!$O$149:'Revenues detail  24'!$O$1,1600000141010)+SUMIFS('Revenues detail  24'!$H$1:$H$149,'Revenues detail  24'!$O$149:'Revenues detail  24'!$O$1,1000000141011)),0)</f>
        <v>99280836</v>
      </c>
      <c r="H10" s="8"/>
      <c r="I10" s="8">
        <f>ROUND(-(SUMIFS('Revenues detail  24'!$I$1:$I$149,'Revenues detail  24'!$O$149:'Revenues detail  24'!$O$1,1000000141010)+SUMIFS('Revenues detail  24'!$I$1:$I$149,'Revenues detail  24'!$O$149:'Revenues detail  24'!$O$1,1010000141010)+SUMIFS('Revenues detail  24'!$I$1:$I$149,'Revenues detail  24'!$O$149:'Revenues detail  24'!$O$1,1401000141010)+SUMIFS('Revenues detail  24'!$I$1:$I$149,'Revenues detail  24'!$O$149:'Revenues detail  24'!$O$1,1402000141010)+SUMIFS('Revenues detail  24'!$I$1:$I$149,'Revenues detail  24'!$O$149:'Revenues detail  24'!$O$1,1600000141010)+SUMIFS('Revenues detail  24'!$I$1:$I$149,'Revenues detail  24'!$O$149:'Revenues detail  24'!$O$1,1040000141010)+SUMIFS('Revenues detail  24'!$I$1:$I$149,'Revenues detail  24'!$O$149:'Revenues detail  24'!$O$1,1000000141011)),0)</f>
        <v>89659449</v>
      </c>
      <c r="J10" s="8"/>
      <c r="K10" s="8">
        <f t="shared" ref="K10:K15" si="0">+I10-G10</f>
        <v>-9621387</v>
      </c>
      <c r="O10" s="3">
        <f>+I10/0.928</f>
        <v>96615785.560344815</v>
      </c>
    </row>
    <row r="11" spans="1:15" x14ac:dyDescent="0.25">
      <c r="B11" t="s">
        <v>443</v>
      </c>
      <c r="C11" s="9">
        <f>ROUND(-(SUMIFS('Revenues detail  24'!$G$1:$G$149,'Revenues detail  24'!$O$149:'Revenues detail  24'!$O$1,1000000141020)+SUMIFS('Revenues detail  24'!$G$1:$G$149,'Revenues detail  24'!$O$149:'Revenues detail  24'!$O$1,1010000141020)+SUMIFS('Revenues detail  24'!$G$1:$G$149,'Revenues detail  24'!$O$149:'Revenues detail  24'!$O$1,1040000141020)+SUMIFS('Revenues detail  24'!$G$1:$G$149,'Revenues detail  24'!$O$149:'Revenues detail  24'!$O$1,1401000141020)+SUMIFS('Revenues detail  24'!$G$1:$G$149,'Revenues detail  24'!$O$149:'Revenues detail  24'!$O$1,1402000141020)+SUMIFS('Revenues detail  24'!$G$1:$G$149,'Revenues detail  24'!$O$149:'Revenues detail  24'!$O$1,1600000141020)),0)</f>
        <v>1471616</v>
      </c>
      <c r="D11" s="9"/>
      <c r="E11" s="9">
        <f>+G11-C11</f>
        <v>0</v>
      </c>
      <c r="F11" s="9"/>
      <c r="G11" s="9">
        <f>ROUND(-(SUMIFS('Revenues detail  24'!$H$1:$H$149,'Revenues detail  24'!$O$149:'Revenues detail  24'!$O$1,1000000141020)+SUMIFS('Revenues detail  24'!$H$1:$H$149,'Revenues detail  24'!$O$149:'Revenues detail  24'!$O$1,1010000141020)+SUMIFS('Revenues detail  24'!$H$1:$H$149,'Revenues detail  24'!$O$149:'Revenues detail  24'!$O$1,1040000141020)+SUMIFS('Revenues detail  24'!$H$1:$H$149,'Revenues detail  24'!$O$149:'Revenues detail  24'!$O$1,1401000141020)+SUMIFS('Revenues detail  24'!$H$1:$H$149,'Revenues detail  24'!$O$149:'Revenues detail  24'!$O$1,1402000141020)+SUMIFS('Revenues detail  24'!$H$1:$H$149,'Revenues detail  24'!$O$149:'Revenues detail  24'!$O$1,1600000141020)),0)</f>
        <v>1471616</v>
      </c>
      <c r="H11" s="9"/>
      <c r="I11" s="9">
        <f>ROUND(-(SUMIFS('Revenues detail  24'!$P$1:$P$149,'Revenues detail  24'!$O$149:'Revenues detail  24'!$O$1,1000000141020)+SUMIFS('Revenues detail  24'!$P$1:$P$149,'Revenues detail  24'!$O$149:'Revenues detail  24'!$O$1,1010000141020)+SUMIFS('Revenues detail  24'!$P$1:$P$149,'Revenues detail  24'!$O$149:'Revenues detail  24'!$O$1,1040000141020)+SUMIFS('Revenues detail  24'!$P$1:$P$149,'Revenues detail  24'!$O$149:'Revenues detail  24'!$O$1,1401000141020)+SUMIFS('Revenues detail  24'!$P$1:$P$149,'Revenues detail  24'!$O$149:'Revenues detail  24'!$O$1,1402000141020)+SUMIFS('Revenues detail  24'!$P$1:$P$149,'Revenues detail  24'!$O$149:'Revenues detail  24'!$O$1,1600000141020)),0)</f>
        <v>2528925</v>
      </c>
      <c r="J11" s="9"/>
      <c r="K11" s="9">
        <f t="shared" si="0"/>
        <v>1057309</v>
      </c>
    </row>
    <row r="12" spans="1:15" x14ac:dyDescent="0.25">
      <c r="B12" s="2" t="s">
        <v>471</v>
      </c>
      <c r="C12" s="9">
        <f>ROUND(-(SUMIFS('Revenues detail  24'!$G$1:$G$149,'Revenues detail  24'!$O$149:'Revenues detail  24'!$O$1,1000000141030)+SUMIFS('Revenues detail  24'!$G$1:$G$149,'Revenues detail  24'!$O$149:'Revenues detail  24'!$O$1,1010000141030)+SUMIFS('Revenues detail  24'!$G$1:$G$149,'Revenues detail  24'!$O$149:'Revenues detail  24'!$O$1,1040000141030)+SUMIFS('Revenues detail  24'!$G$1:$G$149,'Revenues detail  24'!$O$149:'Revenues detail  24'!$O$1,1401000141030)+SUMIFS('Revenues detail  24'!$G$1:$G$149,'Revenues detail  24'!$O$149:'Revenues detail  24'!$O$1,1402000141030)+SUMIFS('Revenues detail  24'!$G$1:$G$149,'Revenues detail  24'!$O$149:'Revenues detail  24'!$O$1,1600000141030)),0)</f>
        <v>7467534</v>
      </c>
      <c r="D12" s="9"/>
      <c r="E12" s="9">
        <f t="shared" ref="E12:E15" si="1">+G12-C12</f>
        <v>0</v>
      </c>
      <c r="F12" s="9"/>
      <c r="G12" s="9">
        <f>ROUND(-(SUMIFS('Revenues detail  24'!$H$1:$H$149,'Revenues detail  24'!$O$149:'Revenues detail  24'!$O$1,1000000141030)+SUMIFS('Revenues detail  24'!$H$1:$H$149,'Revenues detail  24'!$O$149:'Revenues detail  24'!$O$1,1010000141030)+SUMIFS('Revenues detail  24'!$H$1:$H$149,'Revenues detail  24'!$O$149:'Revenues detail  24'!$O$1,1040000141030)+SUMIFS('Revenues detail  24'!$H$1:$H$149,'Revenues detail  24'!$O$149:'Revenues detail  24'!$O$1,1401000141030)+SUMIFS('Revenues detail  24'!$H$1:$H$149,'Revenues detail  24'!$O$149:'Revenues detail  24'!$O$1,1402000141030)+SUMIFS('Revenues detail  24'!$H$1:$H$149,'Revenues detail  24'!$O$149:'Revenues detail  24'!$O$1,1600000141030)),0)</f>
        <v>7467534</v>
      </c>
      <c r="H12" s="9"/>
      <c r="I12" s="9">
        <f>ROUND(-(SUMIFS('Revenues detail  24'!$P$1:$P$149,'Revenues detail  24'!$O$149:'Revenues detail  24'!$O$1,1000000141030)+SUMIFS('Revenues detail  24'!$P$1:$P$149,'Revenues detail  24'!$O$149:'Revenues detail  24'!$O$1,1010000141030)+SUMIFS('Revenues detail  24'!$P$1:$P$149,'Revenues detail  24'!$O$149:'Revenues detail  24'!$O$1,1040000141030)+SUMIFS('Revenues detail  24'!$P$1:$P$149,'Revenues detail  24'!$O$149:'Revenues detail  24'!$O$1,1401000141030)+SUMIFS('Revenues detail  24'!$P$1:$P$149,'Revenues detail  24'!$O$149:'Revenues detail  24'!$O$1,1402000141030)+SUMIFS('Revenues detail  24'!$P$1:$P$149,'Revenues detail  24'!$O$149:'Revenues detail  24'!$O$1,1600000141030)),0)</f>
        <v>8031076</v>
      </c>
      <c r="J12" s="9"/>
      <c r="K12" s="9">
        <f t="shared" si="0"/>
        <v>563542</v>
      </c>
      <c r="O12" s="3"/>
    </row>
    <row r="13" spans="1:15" x14ac:dyDescent="0.25">
      <c r="B13" t="s">
        <v>354</v>
      </c>
      <c r="C13" s="9">
        <f>ROUND(-(SUMIFS('Revenues detail  24'!$G$1:$G$149,'Revenues detail  24'!$O$149:'Revenues detail  24'!$O$1,1000000141040)+SUMIFS('Revenues detail  24'!$G$1:$G$149,'Revenues detail  24'!$O$149:'Revenues detail  24'!$O$1,1010000141040)+SUMIFS('Revenues detail  24'!$G$1:$G$149,'Revenues detail  24'!$O$149:'Revenues detail  24'!$O$1,1040000141040)+SUMIFS('Revenues detail  24'!$G$1:$G$149,'Revenues detail  24'!$O$149:'Revenues detail  24'!$O$1,1401000141040)+SUMIFS('Revenues detail  24'!$G$1:$G$149,'Revenues detail  24'!$O$149:'Revenues detail  24'!$O$1,1402000141040)+SUMIFS('Revenues detail  24'!$G$1:$G$149,'Revenues detail  24'!$O$149:'Revenues detail  24'!$O$1,1600000141040)),0)</f>
        <v>450000</v>
      </c>
      <c r="D13" s="9"/>
      <c r="E13" s="9">
        <f t="shared" si="1"/>
        <v>0</v>
      </c>
      <c r="F13" s="9"/>
      <c r="G13" s="9">
        <f>ROUND(-(SUMIFS('Revenues detail  24'!$H$1:$H$149,'Revenues detail  24'!$O$149:'Revenues detail  24'!$O$1,1000000141040)+SUMIFS('Revenues detail  24'!$H$1:$H$149,'Revenues detail  24'!$O$149:'Revenues detail  24'!$O$1,1010000141040)+SUMIFS('Revenues detail  24'!$H$1:$H$149,'Revenues detail  24'!$O$149:'Revenues detail  24'!$O$1,1040000141040)+SUMIFS('Revenues detail  24'!$H$1:$H$149,'Revenues detail  24'!$O$149:'Revenues detail  24'!$O$1,1401000141040)+SUMIFS('Revenues detail  24'!$H$1:$H$149,'Revenues detail  24'!$O$149:'Revenues detail  24'!$O$1,1402000141040)+SUMIFS('Revenues detail  24'!$H$1:$H$149,'Revenues detail  24'!$O$149:'Revenues detail  24'!$O$1,1600000141040)),0)</f>
        <v>450000</v>
      </c>
      <c r="H13" s="9"/>
      <c r="I13" s="9">
        <f>ROUND(-(SUMIFS('Revenues detail  24'!$P$1:$P$149,'Revenues detail  24'!$O$149:'Revenues detail  24'!$O$1,1000000141040)+SUMIFS('Revenues detail  24'!$P$1:$P$149,'Revenues detail  24'!$O$149:'Revenues detail  24'!$O$1,1010000141040)+SUMIFS('Revenues detail  24'!$P$1:$P$149,'Revenues detail  24'!$O$149:'Revenues detail  24'!$O$1,1040000141040)+SUMIFS('Revenues detail  24'!$P$1:$P$149,'Revenues detail  24'!$O$149:'Revenues detail  24'!$O$1,1401000141040)+SUMIFS('Revenues detail  24'!$P$1:$P$149,'Revenues detail  24'!$O$149:'Revenues detail  24'!$O$1,1402000141040)+SUMIFS('Revenues detail  24'!$P$1:$P$149,'Revenues detail  24'!$O$149:'Revenues detail  24'!$O$1,1600000141040)),0)</f>
        <v>477218</v>
      </c>
      <c r="J13" s="9"/>
      <c r="K13" s="9">
        <f t="shared" si="0"/>
        <v>27218</v>
      </c>
    </row>
    <row r="14" spans="1:15" x14ac:dyDescent="0.25">
      <c r="B14" t="s">
        <v>355</v>
      </c>
      <c r="C14" s="9">
        <f>ROUND(-(SUMIFS('Revenues detail  24'!$G$1:$G$149,'Revenues detail  24'!$O$149:'Revenues detail  24'!$O$1,1000000141050)),0)</f>
        <v>500000</v>
      </c>
      <c r="D14" s="9"/>
      <c r="E14" s="9">
        <f t="shared" si="1"/>
        <v>0</v>
      </c>
      <c r="F14" s="9"/>
      <c r="G14" s="9">
        <f>ROUND(-(SUMIFS('Revenues detail  24'!$H$1:$H$149,'Revenues detail  24'!$O$149:'Revenues detail  24'!$O$1,1000000141050)),0)</f>
        <v>500000</v>
      </c>
      <c r="H14" s="9"/>
      <c r="I14" s="9">
        <f>ROUND(-(SUMIFS('Revenues detail  24'!$P$1:$P$149,'Revenues detail  24'!$O$149:'Revenues detail  24'!$O$1,1000000141050)),0)</f>
        <v>636796</v>
      </c>
      <c r="J14" s="9"/>
      <c r="K14" s="9">
        <f t="shared" si="0"/>
        <v>136796</v>
      </c>
    </row>
    <row r="15" spans="1:15" hidden="1" x14ac:dyDescent="0.25">
      <c r="B15" t="s">
        <v>353</v>
      </c>
      <c r="C15" s="9">
        <f>ROUND(-(SUMIFS('Revenues detail  24'!$G$1:$G$149,'Revenues detail  24'!$O$149:'Revenues detail  24'!$O$1,1000000141055)+SUMIFS('Revenues detail  24'!$G$1:$G$149,'Revenues detail  24'!$O$149:'Revenues detail  24'!$O$1,1010000141055)+SUMIFS('Revenues detail  24'!$G$1:$G$149,'Revenues detail  24'!$O$149:'Revenues detail  24'!$O$1,1040000141055)+SUMIFS('Revenues detail  24'!$G$1:$G$149,'Revenues detail  24'!$O$149:'Revenues detail  24'!$O$1,1401000141055)+SUMIFS('Revenues detail  24'!$G$1:$G$149,'Revenues detail  24'!$O$149:'Revenues detail  24'!$O$1,1402000141055)+SUMIFS('Revenues detail  24'!$G$1:$G$149,'Revenues detail  24'!$O$149:'Revenues detail  24'!$O$1,1600000141055)),0)</f>
        <v>0</v>
      </c>
      <c r="D15" s="9"/>
      <c r="E15" s="9">
        <f t="shared" si="1"/>
        <v>0</v>
      </c>
      <c r="F15" s="9"/>
      <c r="G15" s="9">
        <f>ROUND(-(SUMIFS('Revenues detail  24'!$H$1:$H$149,'Revenues detail  24'!$O$149:'Revenues detail  24'!$O$1,1000000141055)+SUMIFS('Revenues detail  24'!$H$1:$H$149,'Revenues detail  24'!$O$149:'Revenues detail  24'!$O$1,1010000141055)+SUMIFS('Revenues detail  24'!$H$1:$H$149,'Revenues detail  24'!$O$149:'Revenues detail  24'!$O$1,1040000141055)+SUMIFS('Revenues detail  24'!$H$1:$H$149,'Revenues detail  24'!$O$149:'Revenues detail  24'!$O$1,1401000141055)+SUMIFS('Revenues detail  24'!$H$1:$H$149,'Revenues detail  24'!$O$149:'Revenues detail  24'!$O$1,1402000141055)+SUMIFS('Revenues detail  24'!$H$1:$H$149,'Revenues detail  24'!$O$149:'Revenues detail  24'!$O$1,1600000141055)),0)</f>
        <v>0</v>
      </c>
      <c r="H15" s="9"/>
      <c r="I15" s="9">
        <f>ROUND(-(SUMIFS('Revenues detail  24'!$P$1:$P$149,'Revenues detail  24'!$O$149:'Revenues detail  24'!$O$1,1000000141055)+SUMIFS('Revenues detail  24'!$P$1:$P$149,'Revenues detail  24'!$O$149:'Revenues detail  24'!$O$1,1010000141055)+SUMIFS('Revenues detail  24'!$P$1:$P$149,'Revenues detail  24'!$O$149:'Revenues detail  24'!$O$1,1040000141055)+SUMIFS('Revenues detail  24'!$P$1:$P$149,'Revenues detail  24'!$O$149:'Revenues detail  24'!$O$1,1401000141055)+SUMIFS('Revenues detail  24'!$P$1:$P$149,'Revenues detail  24'!$O$149:'Revenues detail  24'!$O$1,1402000141055)+SUMIFS('Revenues detail  24'!$P$1:$P$149,'Revenues detail  24'!$O$149:'Revenues detail  24'!$O$1,1600000141055)),0)</f>
        <v>0</v>
      </c>
      <c r="J15" s="9"/>
      <c r="K15" s="9">
        <f t="shared" si="0"/>
        <v>0</v>
      </c>
    </row>
    <row r="16" spans="1:15" x14ac:dyDescent="0.25">
      <c r="B16" s="22" t="s">
        <v>442</v>
      </c>
      <c r="C16" s="11">
        <f>SUM(C10:C15)</f>
        <v>108773146</v>
      </c>
      <c r="D16" s="9"/>
      <c r="E16" s="11">
        <f>SUM(E10:E15)</f>
        <v>396840</v>
      </c>
      <c r="F16" s="9"/>
      <c r="G16" s="11">
        <f>SUM(G10:G15)</f>
        <v>109169986</v>
      </c>
      <c r="H16" s="9"/>
      <c r="I16" s="11">
        <f>SUM(I10:I15)</f>
        <v>101333464</v>
      </c>
      <c r="J16" s="9"/>
      <c r="K16" s="11">
        <f>SUM(K10:K15)</f>
        <v>-7836522</v>
      </c>
      <c r="N16" s="7">
        <f>+G16/$G$102</f>
        <v>0.62669522817475609</v>
      </c>
      <c r="O16" s="7">
        <f>+I16/G16</f>
        <v>0.92821724828287511</v>
      </c>
    </row>
    <row r="17" spans="1:15" x14ac:dyDescent="0.25">
      <c r="C17" s="9"/>
      <c r="D17" s="9"/>
      <c r="E17" s="9"/>
      <c r="F17" s="9"/>
      <c r="G17" s="9"/>
      <c r="H17" s="9"/>
      <c r="I17" s="9"/>
      <c r="J17" s="9"/>
      <c r="K17" s="9"/>
    </row>
    <row r="18" spans="1:15" x14ac:dyDescent="0.25">
      <c r="A18" s="14" t="s">
        <v>419</v>
      </c>
      <c r="C18" s="9"/>
      <c r="D18" s="9"/>
      <c r="E18" s="9"/>
      <c r="F18" s="9"/>
      <c r="G18" s="9"/>
      <c r="H18" s="9"/>
      <c r="I18" s="9"/>
      <c r="J18" s="9"/>
      <c r="K18" s="9"/>
    </row>
    <row r="19" spans="1:15" x14ac:dyDescent="0.25">
      <c r="B19" t="s">
        <v>356</v>
      </c>
      <c r="C19" s="9">
        <f>ROUND(-(SUMIFS('Revenues detail  24'!$G$1:$G$149,'Revenues detail  24'!$O$149:'Revenues detail  24'!$O$1,1000000142010)),0)</f>
        <v>1050000</v>
      </c>
      <c r="D19" s="9"/>
      <c r="E19" s="9">
        <f t="shared" ref="E19:E26" si="2">+G19-C19</f>
        <v>0</v>
      </c>
      <c r="F19" s="9"/>
      <c r="G19" s="9">
        <f>ROUND(-(SUMIFS('Revenues detail  24'!$H$1:$H$149,'Revenues detail  24'!$O$149:'Revenues detail  24'!$O$1,1000000142010)),0)</f>
        <v>1050000</v>
      </c>
      <c r="H19" s="9"/>
      <c r="I19" s="9">
        <f>ROUND(-(SUMIFS('Revenues detail  24'!$P$1:$P$149,'Revenues detail  24'!$O$149:'Revenues detail  24'!$O$1,1000000142010)),0)</f>
        <v>1861552</v>
      </c>
      <c r="J19" s="9"/>
      <c r="K19" s="9">
        <f t="shared" ref="K19:K26" si="3">+I19-G19</f>
        <v>811552</v>
      </c>
    </row>
    <row r="20" spans="1:15" x14ac:dyDescent="0.25">
      <c r="B20" t="s">
        <v>357</v>
      </c>
      <c r="C20" s="9">
        <f>ROUND(-(SUMIFS('Revenues detail  24'!$G$1:$G$149,'Revenues detail  24'!$O$149:'Revenues detail  24'!$O$1,1000000142020)),0)</f>
        <v>18000</v>
      </c>
      <c r="D20" s="9"/>
      <c r="E20" s="9">
        <f t="shared" si="2"/>
        <v>0</v>
      </c>
      <c r="F20" s="9"/>
      <c r="G20" s="9">
        <f>ROUND(-(SUMIFS('Revenues detail  24'!$H$1:$H$149,'Revenues detail  24'!$O$149:'Revenues detail  24'!$O$1,1000000142020)),0)</f>
        <v>18000</v>
      </c>
      <c r="H20" s="9"/>
      <c r="I20" s="9">
        <f>ROUND(-(SUMIFS('Revenues detail  24'!$P$1:$P$149,'Revenues detail  24'!$O$149:'Revenues detail  24'!$O$1,1000000142020)),0)</f>
        <v>-3</v>
      </c>
      <c r="J20" s="9"/>
      <c r="K20" s="9">
        <f t="shared" si="3"/>
        <v>-18003</v>
      </c>
    </row>
    <row r="21" spans="1:15" x14ac:dyDescent="0.25">
      <c r="B21" t="s">
        <v>358</v>
      </c>
      <c r="C21" s="9">
        <f>ROUND(-(SUMIFS('Revenues detail  24'!$G$1:$G$149,'Revenues detail  24'!$O$149:'Revenues detail  24'!$O$1,1000000142030)),0)</f>
        <v>10000</v>
      </c>
      <c r="D21" s="9"/>
      <c r="E21" s="9">
        <f t="shared" si="2"/>
        <v>0</v>
      </c>
      <c r="F21" s="9"/>
      <c r="G21" s="9">
        <f>ROUND(-(SUMIFS('Revenues detail  24'!$H$1:$H$149,'Revenues detail  24'!$O$149:'Revenues detail  24'!$O$1,1000000142030)),0)</f>
        <v>10000</v>
      </c>
      <c r="H21" s="9"/>
      <c r="I21" s="9">
        <f>ROUND(-(SUMIFS('Revenues detail  24'!$P$1:$P$149,'Revenues detail  24'!$O$149:'Revenues detail  24'!$O$1,1000000142030)),0)</f>
        <v>20105</v>
      </c>
      <c r="J21" s="9"/>
      <c r="K21" s="9">
        <f t="shared" si="3"/>
        <v>10105</v>
      </c>
    </row>
    <row r="22" spans="1:15" x14ac:dyDescent="0.25">
      <c r="B22" t="s">
        <v>359</v>
      </c>
      <c r="C22" s="9">
        <f>ROUND(-(SUMIFS('Revenues detail  24'!$G$1:$G$149,'Revenues detail  24'!$O$149:'Revenues detail  24'!$O$1,1000000142040)),0)</f>
        <v>55000</v>
      </c>
      <c r="D22" s="9"/>
      <c r="E22" s="9">
        <f t="shared" si="2"/>
        <v>0</v>
      </c>
      <c r="F22" s="9"/>
      <c r="G22" s="9">
        <f>ROUND(-(SUMIFS('Revenues detail  24'!$H$1:$H$149,'Revenues detail  24'!$O$149:'Revenues detail  24'!$O$1,1000000142040)),0)</f>
        <v>55000</v>
      </c>
      <c r="H22" s="9"/>
      <c r="I22" s="9">
        <f>ROUND(-(SUMIFS('Revenues detail  24'!$P$1:$P$149,'Revenues detail  24'!$O$149:'Revenues detail  24'!$O$1,1000000142040)),0)</f>
        <v>62960</v>
      </c>
      <c r="J22" s="9"/>
      <c r="K22" s="9">
        <f t="shared" si="3"/>
        <v>7960</v>
      </c>
    </row>
    <row r="23" spans="1:15" hidden="1" x14ac:dyDescent="0.25">
      <c r="B23" t="s">
        <v>444</v>
      </c>
      <c r="C23" s="9">
        <f>ROUND(-(SUMIFS('Revenues detail  24'!$G$1:$G$149,'Revenues detail  24'!$O$149:'Revenues detail  24'!$O$1,1000000142060)),0)</f>
        <v>0</v>
      </c>
      <c r="D23" s="9"/>
      <c r="E23" s="9">
        <f t="shared" si="2"/>
        <v>0</v>
      </c>
      <c r="F23" s="9"/>
      <c r="G23" s="9">
        <f>ROUND(-(SUMIFS('Revenues detail  24'!$H$1:$H$149,'Revenues detail  24'!$O$149:'Revenues detail  24'!$O$1,1000000142060)),0)</f>
        <v>0</v>
      </c>
      <c r="H23" s="9"/>
      <c r="I23" s="9">
        <f>ROUND(-(SUMIFS('Revenues detail  24'!$P$1:$P$149,'Revenues detail  24'!$O$149:'Revenues detail  24'!$O$1,1000000142060)),0)</f>
        <v>250</v>
      </c>
      <c r="J23" s="9"/>
      <c r="K23" s="9">
        <f t="shared" si="3"/>
        <v>250</v>
      </c>
    </row>
    <row r="24" spans="1:15" x14ac:dyDescent="0.25">
      <c r="B24" t="s">
        <v>360</v>
      </c>
      <c r="C24" s="9">
        <f>ROUND(-(SUMIFS('Revenues detail  24'!$G$1:$G$149,'Revenues detail  24'!$O$149:'Revenues detail  24'!$O$1,1000000142200)),0)</f>
        <v>450000</v>
      </c>
      <c r="D24" s="9"/>
      <c r="E24" s="9">
        <f t="shared" si="2"/>
        <v>0</v>
      </c>
      <c r="F24" s="9"/>
      <c r="G24" s="9">
        <f>ROUND(-(SUMIFS('Revenues detail  24'!$H$1:$H$149,'Revenues detail  24'!$O$149:'Revenues detail  24'!$O$1,1000000142200)),0)</f>
        <v>450000</v>
      </c>
      <c r="H24" s="9"/>
      <c r="I24" s="9">
        <f>ROUND(-(SUMIFS('Revenues detail  24'!$P$1:$P$149,'Revenues detail  24'!$O$149:'Revenues detail  24'!$O$1,1000000142200)),0)</f>
        <v>331724</v>
      </c>
      <c r="J24" s="9"/>
      <c r="K24" s="9">
        <f t="shared" si="3"/>
        <v>-118276</v>
      </c>
    </row>
    <row r="25" spans="1:15" x14ac:dyDescent="0.25">
      <c r="B25" t="s">
        <v>119</v>
      </c>
      <c r="C25" s="9">
        <f>ROUND(-(SUMIFS('Revenues detail  24'!$G$1:$G$149,'Revenues detail  24'!$O$149:'Revenues detail  24'!$O$1,1000000142300)),0)</f>
        <v>2300000</v>
      </c>
      <c r="D25" s="9"/>
      <c r="E25" s="9">
        <f t="shared" si="2"/>
        <v>0</v>
      </c>
      <c r="F25" s="9"/>
      <c r="G25" s="9">
        <f>ROUND(-(SUMIFS('Revenues detail  24'!$H$1:$H$149,'Revenues detail  24'!$O$149:'Revenues detail  24'!$O$1,1000000142300)),0)</f>
        <v>2300000</v>
      </c>
      <c r="H25" s="9"/>
      <c r="I25" s="9">
        <f>ROUND(-(SUMIFS('Revenues detail  24'!$P$1:$P$149,'Revenues detail  24'!$O$149:'Revenues detail  24'!$O$1,1000000142300)),0)</f>
        <v>3361018</v>
      </c>
      <c r="J25" s="9"/>
      <c r="K25" s="9">
        <f t="shared" si="3"/>
        <v>1061018</v>
      </c>
    </row>
    <row r="26" spans="1:15" x14ac:dyDescent="0.25">
      <c r="B26" t="s">
        <v>361</v>
      </c>
      <c r="C26" s="9">
        <f>ROUND(-(SUMIFS('Revenues detail  24'!$G$1:$G$149,'Revenues detail  24'!$O$149:'Revenues detail  24'!$O$1,1000000142310)),0)</f>
        <v>75000</v>
      </c>
      <c r="D26" s="9"/>
      <c r="E26" s="9">
        <f t="shared" si="2"/>
        <v>0</v>
      </c>
      <c r="F26" s="9"/>
      <c r="G26" s="9">
        <f>ROUND(-(SUMIFS('Revenues detail  24'!$H$1:$H$149,'Revenues detail  24'!$O$149:'Revenues detail  24'!$O$1,1000000142310)),0)</f>
        <v>75000</v>
      </c>
      <c r="H26" s="9"/>
      <c r="I26" s="9">
        <f>ROUND(-(SUMIFS('Revenues detail  24'!$P$1:$P$149,'Revenues detail  24'!$O$149:'Revenues detail  24'!$O$1,1000000142310)),0)</f>
        <v>118650</v>
      </c>
      <c r="J26" s="9"/>
      <c r="K26" s="9">
        <f t="shared" si="3"/>
        <v>43650</v>
      </c>
    </row>
    <row r="27" spans="1:15" x14ac:dyDescent="0.25">
      <c r="B27" s="22" t="s">
        <v>446</v>
      </c>
      <c r="C27" s="11">
        <f>SUM(C19:C26)</f>
        <v>3958000</v>
      </c>
      <c r="D27" s="9"/>
      <c r="E27" s="11">
        <f>SUM(E19:E26)</f>
        <v>0</v>
      </c>
      <c r="F27" s="9"/>
      <c r="G27" s="11">
        <f>SUM(G19:G26)</f>
        <v>3958000</v>
      </c>
      <c r="H27" s="9"/>
      <c r="I27" s="11">
        <f>SUM(I19:I26)</f>
        <v>5756256</v>
      </c>
      <c r="J27" s="9"/>
      <c r="K27" s="11">
        <f>SUM(K19:K26)</f>
        <v>1798256</v>
      </c>
      <c r="N27" s="7">
        <f>+G27/$G$102</f>
        <v>2.2721077504907664E-2</v>
      </c>
      <c r="O27" s="7">
        <f>+I27/G27</f>
        <v>1.4543345123799898</v>
      </c>
    </row>
    <row r="28" spans="1:15" x14ac:dyDescent="0.25">
      <c r="C28" s="9"/>
      <c r="D28" s="9"/>
      <c r="E28" s="9"/>
      <c r="F28" s="9"/>
      <c r="G28" s="9"/>
      <c r="H28" s="9"/>
      <c r="I28" s="9"/>
      <c r="J28" s="9"/>
      <c r="K28" s="9"/>
    </row>
    <row r="29" spans="1:15" x14ac:dyDescent="0.25">
      <c r="A29" t="s">
        <v>362</v>
      </c>
      <c r="C29" s="9"/>
      <c r="D29" s="9"/>
      <c r="E29" s="9"/>
      <c r="F29" s="9"/>
      <c r="G29" s="9"/>
      <c r="H29" s="9"/>
      <c r="I29" s="9"/>
      <c r="J29" s="9"/>
      <c r="K29" s="9"/>
    </row>
    <row r="30" spans="1:15" x14ac:dyDescent="0.25">
      <c r="B30" t="s">
        <v>363</v>
      </c>
      <c r="C30" s="9">
        <f>ROUND(-(SUMIFS('Revenues detail  24'!$G$1:$G$149,'Revenues detail  24'!$O$149:'Revenues detail  24'!$O$1,1000000143010)),0)</f>
        <v>7951200</v>
      </c>
      <c r="D30" s="9"/>
      <c r="E30" s="9">
        <f t="shared" ref="E30:E43" si="4">+G30-C30</f>
        <v>0</v>
      </c>
      <c r="F30" s="9"/>
      <c r="G30" s="9">
        <f>ROUND(-(SUMIFS('Revenues detail  24'!$H$1:$H$149,'Revenues detail  24'!$O$149:'Revenues detail  24'!$O$1,1000000143010)),0)</f>
        <v>7951200</v>
      </c>
      <c r="H30" s="9"/>
      <c r="I30" s="9">
        <f>ROUND(-(SUMIFS('Revenues detail  24'!$P$1:$P$149,'Revenues detail  24'!$O$149:'Revenues detail  24'!$O$1,1000000143010)),0)</f>
        <v>7917964</v>
      </c>
      <c r="J30" s="9"/>
      <c r="K30" s="9">
        <f t="shared" ref="K30:K46" si="5">+I30-G30</f>
        <v>-33236</v>
      </c>
    </row>
    <row r="31" spans="1:15" x14ac:dyDescent="0.25">
      <c r="B31" t="s">
        <v>364</v>
      </c>
      <c r="C31" s="9">
        <f>ROUND(-(SUMIFS('Revenues detail  24'!$G$1:$G$149,'Revenues detail  24'!$O$149:'Revenues detail  24'!$O$1,1000000143015)),0)</f>
        <v>2150000</v>
      </c>
      <c r="D31" s="9"/>
      <c r="E31" s="9">
        <f t="shared" si="4"/>
        <v>0</v>
      </c>
      <c r="F31" s="9"/>
      <c r="G31" s="9">
        <f>ROUND(-(SUMIFS('Revenues detail  24'!$H$1:$H$149,'Revenues detail  24'!$O$149:'Revenues detail  24'!$O$1,1000000143015)),0)</f>
        <v>2150000</v>
      </c>
      <c r="H31" s="9"/>
      <c r="I31" s="9">
        <f>ROUND(-(SUMIFS('Revenues detail  24'!$P$1:$P$149,'Revenues detail  24'!$O$149:'Revenues detail  24'!$O$1,1000000143015)),0)</f>
        <v>2074840</v>
      </c>
      <c r="J31" s="9"/>
      <c r="K31" s="9">
        <f t="shared" si="5"/>
        <v>-75160</v>
      </c>
    </row>
    <row r="32" spans="1:15" x14ac:dyDescent="0.25">
      <c r="B32" t="s">
        <v>365</v>
      </c>
      <c r="C32" s="9">
        <f>ROUND(-(SUMIFS('Revenues detail  24'!$G$1:$G$149,'Revenues detail  24'!$O$149:'Revenues detail  24'!$O$1,1000000143020)),0)</f>
        <v>186000</v>
      </c>
      <c r="D32" s="9"/>
      <c r="E32" s="9">
        <f t="shared" si="4"/>
        <v>0</v>
      </c>
      <c r="F32" s="9"/>
      <c r="G32" s="9">
        <f>ROUND(-(SUMIFS('Revenues detail  24'!$H$1:$H$149,'Revenues detail  24'!$O$149:'Revenues detail  24'!$O$1,1000000143020)),0)</f>
        <v>186000</v>
      </c>
      <c r="H32" s="9"/>
      <c r="I32" s="9">
        <f>ROUND(-(SUMIFS('Revenues detail  24'!$P$1:$P$149,'Revenues detail  24'!$O$149:'Revenues detail  24'!$O$1,1000000143020)),0)</f>
        <v>186309</v>
      </c>
      <c r="J32" s="9"/>
      <c r="K32" s="9">
        <f t="shared" si="5"/>
        <v>309</v>
      </c>
    </row>
    <row r="33" spans="2:15" x14ac:dyDescent="0.25">
      <c r="B33" t="s">
        <v>445</v>
      </c>
      <c r="C33" s="9">
        <f>ROUND(-(SUMIFS('Revenues detail  24'!$G$1:$G$149,'Revenues detail  24'!$O$149:'Revenues detail  24'!$O$1,1000000143021)),0)</f>
        <v>23200</v>
      </c>
      <c r="D33" s="9"/>
      <c r="E33" s="9">
        <f t="shared" si="4"/>
        <v>0</v>
      </c>
      <c r="F33" s="9"/>
      <c r="G33" s="9">
        <f>ROUND(-(SUMIFS('Revenues detail  24'!$H$1:$H$149,'Revenues detail  24'!$O$149:'Revenues detail  24'!$O$1,1000000143021)),0)</f>
        <v>23200</v>
      </c>
      <c r="H33" s="9"/>
      <c r="I33" s="9">
        <f>ROUND(-(SUMIFS('Revenues detail  24'!$P$1:$P$149,'Revenues detail  24'!$O$149:'Revenues detail  24'!$O$1,1000000143021)),0)</f>
        <v>277616</v>
      </c>
      <c r="J33" s="9"/>
      <c r="K33" s="9">
        <f t="shared" si="5"/>
        <v>254416</v>
      </c>
    </row>
    <row r="34" spans="2:15" x14ac:dyDescent="0.25">
      <c r="B34" t="s">
        <v>366</v>
      </c>
      <c r="C34" s="9">
        <f>ROUND(-(SUMIFS('Revenues detail  24'!$G$1:$G$149,'Revenues detail  24'!$O$149:'Revenues detail  24'!$O$1,1000000143022)),0)</f>
        <v>200000</v>
      </c>
      <c r="D34" s="9"/>
      <c r="E34" s="9">
        <f t="shared" si="4"/>
        <v>0</v>
      </c>
      <c r="F34" s="9"/>
      <c r="G34" s="9">
        <f>ROUND(-(SUMIFS('Revenues detail  24'!$H$1:$H$149,'Revenues detail  24'!$O$149:'Revenues detail  24'!$O$1,1000000143022)),0)</f>
        <v>200000</v>
      </c>
      <c r="H34" s="9"/>
      <c r="I34" s="9">
        <f>ROUND(-(SUMIFS('Revenues detail  24'!$P$1:$P$149,'Revenues detail  24'!$O$149:'Revenues detail  24'!$O$1,1000000143022)),0)</f>
        <v>255666</v>
      </c>
      <c r="J34" s="9"/>
      <c r="K34" s="9">
        <f t="shared" si="5"/>
        <v>55666</v>
      </c>
    </row>
    <row r="35" spans="2:15" x14ac:dyDescent="0.25">
      <c r="B35" t="s">
        <v>367</v>
      </c>
      <c r="C35" s="9">
        <f>ROUND(-(SUMIFS('Revenues detail  24'!$G$1:$G$149,'Revenues detail  24'!$O$149:'Revenues detail  24'!$O$1,1000000143040)),0)</f>
        <v>100000</v>
      </c>
      <c r="D35" s="9"/>
      <c r="E35" s="9">
        <f t="shared" si="4"/>
        <v>0</v>
      </c>
      <c r="F35" s="9"/>
      <c r="G35" s="9">
        <f>ROUND(-(SUMIFS('Revenues detail  24'!$H$1:$H$149,'Revenues detail  24'!$O$149:'Revenues detail  24'!$O$1,1000000143040)),0)</f>
        <v>100000</v>
      </c>
      <c r="H35" s="9"/>
      <c r="I35" s="9">
        <f>ROUND(-(SUMIFS('Revenues detail  24'!$P$1:$P$149,'Revenues detail  24'!$O$149:'Revenues detail  24'!$O$1,1000000143040)),0)</f>
        <v>92068</v>
      </c>
      <c r="J35" s="9"/>
      <c r="K35" s="9">
        <f t="shared" si="5"/>
        <v>-7932</v>
      </c>
    </row>
    <row r="36" spans="2:15" x14ac:dyDescent="0.25">
      <c r="B36" t="s">
        <v>368</v>
      </c>
      <c r="C36" s="9">
        <f>ROUND(-(SUMIFS('Revenues detail  24'!$G$1:$G$149,'Revenues detail  24'!$O$149:'Revenues detail  24'!$O$1,1000000143041)),0)</f>
        <v>17000</v>
      </c>
      <c r="D36" s="9"/>
      <c r="E36" s="9">
        <f t="shared" si="4"/>
        <v>0</v>
      </c>
      <c r="F36" s="9"/>
      <c r="G36" s="9">
        <f>ROUND(-(SUMIFS('Revenues detail  24'!$H$1:$H$149,'Revenues detail  24'!$O$149:'Revenues detail  24'!$O$1,1000000143041)),0)</f>
        <v>17000</v>
      </c>
      <c r="H36" s="9"/>
      <c r="I36" s="9">
        <f>ROUND(-(SUMIFS('Revenues detail  24'!$P$1:$P$149,'Revenues detail  24'!$O$149:'Revenues detail  24'!$O$1,1000000143041)),0)</f>
        <v>9735</v>
      </c>
      <c r="J36" s="9"/>
      <c r="K36" s="9">
        <f t="shared" si="5"/>
        <v>-7265</v>
      </c>
    </row>
    <row r="37" spans="2:15" x14ac:dyDescent="0.25">
      <c r="B37" t="s">
        <v>369</v>
      </c>
      <c r="C37" s="9">
        <f>ROUND(-(SUMIFS('Revenues detail  24'!$G$1:$G$149,'Revenues detail  24'!$O$149:'Revenues detail  24'!$O$1,1000000143051)),0)</f>
        <v>9500</v>
      </c>
      <c r="D37" s="9"/>
      <c r="E37" s="9">
        <f t="shared" si="4"/>
        <v>0</v>
      </c>
      <c r="F37" s="9"/>
      <c r="G37" s="9">
        <f>ROUND(-(SUMIFS('Revenues detail  24'!$H$1:$H$149,'Revenues detail  24'!$O$149:'Revenues detail  24'!$O$1,1000000143051)),0)</f>
        <v>9500</v>
      </c>
      <c r="H37" s="9"/>
      <c r="I37" s="9">
        <f>ROUND(-(SUMIFS('Revenues detail  24'!$P$1:$P$149,'Revenues detail  24'!$O$149:'Revenues detail  24'!$O$1,1000000143051)),0)</f>
        <v>6572</v>
      </c>
      <c r="J37" s="9"/>
      <c r="K37" s="9">
        <f t="shared" si="5"/>
        <v>-2928</v>
      </c>
    </row>
    <row r="38" spans="2:15" x14ac:dyDescent="0.25">
      <c r="B38" t="s">
        <v>370</v>
      </c>
      <c r="C38" s="9">
        <f>ROUND(-(SUMIFS('Revenues detail  24'!$G$1:$G$149,'Revenues detail  24'!$O$149:'Revenues detail  24'!$O$1,1000000143200)),0)</f>
        <v>5500</v>
      </c>
      <c r="D38" s="9"/>
      <c r="E38" s="9">
        <f t="shared" si="4"/>
        <v>0</v>
      </c>
      <c r="F38" s="9"/>
      <c r="G38" s="9">
        <f>ROUND(-(SUMIFS('Revenues detail  24'!$H$1:$H$149,'Revenues detail  24'!$O$149:'Revenues detail  24'!$O$1,1000000143200)),0)</f>
        <v>5500</v>
      </c>
      <c r="H38" s="9"/>
      <c r="I38" s="9">
        <f>ROUND(-(SUMIFS('Revenues detail  24'!$P$1:$P$149,'Revenues detail  24'!$O$149:'Revenues detail  24'!$O$1,1000000143200)),0)</f>
        <v>5784</v>
      </c>
      <c r="J38" s="9"/>
      <c r="K38" s="9">
        <f t="shared" si="5"/>
        <v>284</v>
      </c>
    </row>
    <row r="39" spans="2:15" x14ac:dyDescent="0.25">
      <c r="B39" t="s">
        <v>371</v>
      </c>
      <c r="C39" s="9">
        <f>ROUND(-(SUMIFS('Revenues detail  24'!$G$1:$G$149,'Revenues detail  24'!$O$149:'Revenues detail  24'!$O$1,1000000143230)+(SUMIFS('Revenues detail  24'!$G$1:$G$149,'Revenues detail  24'!$O$149:'Revenues detail  24'!$O$1,1000000143238))),0)</f>
        <v>128500</v>
      </c>
      <c r="D39" s="9"/>
      <c r="E39" s="9">
        <f t="shared" si="4"/>
        <v>0</v>
      </c>
      <c r="F39" s="9"/>
      <c r="G39" s="9">
        <f>ROUND(-(SUMIFS('Revenues detail  24'!$H$1:$H$149,'Revenues detail  24'!$O$149:'Revenues detail  24'!$O$1,1000000143230)+(SUMIFS('Revenues detail  24'!$H$1:$H$149,'Revenues detail  24'!$O$149:'Revenues detail  24'!$O$1,1000000143238))),0)</f>
        <v>128500</v>
      </c>
      <c r="H39" s="9"/>
      <c r="I39" s="9">
        <f>ROUND(-(SUMIFS('Revenues detail  24'!$P$1:$P$149,'Revenues detail  24'!$O$149:'Revenues detail  24'!$O$1,1000000143230)+(SUMIFS('Revenues detail  24'!$P$1:$P$149,'Revenues detail  24'!$O$149:'Revenues detail  24'!$O$1,1000000143238))),0)</f>
        <v>11614</v>
      </c>
      <c r="J39" s="9"/>
      <c r="K39" s="9">
        <f t="shared" si="5"/>
        <v>-116886</v>
      </c>
    </row>
    <row r="40" spans="2:15" hidden="1" x14ac:dyDescent="0.25">
      <c r="B40" t="s">
        <v>372</v>
      </c>
      <c r="C40" s="9">
        <f>ROUND(-(SUMIFS('Revenues detail  24'!$G$1:$G$149,'Revenues detail  24'!$O$149:'Revenues detail  24'!$O$1,"100000014323A")),0)</f>
        <v>0</v>
      </c>
      <c r="D40" s="9"/>
      <c r="E40" s="9">
        <f t="shared" si="4"/>
        <v>0</v>
      </c>
      <c r="F40" s="9"/>
      <c r="G40" s="9">
        <f>ROUND(-(SUMIFS('Revenues detail  24'!$H$1:$H$149,'Revenues detail  24'!$O$149:'Revenues detail  24'!$O$1,"100000014323A")),0)</f>
        <v>0</v>
      </c>
      <c r="H40" s="9"/>
      <c r="I40" s="9">
        <f>ROUND(-(SUMIFS('Revenues detail  24'!$P$1:$P$149,'Revenues detail  24'!$O$149:'Revenues detail  24'!$O$1,"100000014323A")),0)</f>
        <v>0</v>
      </c>
      <c r="J40" s="9"/>
      <c r="K40" s="9">
        <f t="shared" si="5"/>
        <v>0</v>
      </c>
    </row>
    <row r="41" spans="2:15" x14ac:dyDescent="0.25">
      <c r="B41" t="s">
        <v>373</v>
      </c>
      <c r="C41" s="9">
        <f>ROUND(-(SUMIFS('Revenues detail  24'!$G$1:$G$149,'Revenues detail  24'!$O$149:'Revenues detail  24'!$O$1,1000000143250)),0)</f>
        <v>7880</v>
      </c>
      <c r="D41" s="9"/>
      <c r="E41" s="9">
        <f t="shared" si="4"/>
        <v>0</v>
      </c>
      <c r="F41" s="9"/>
      <c r="G41" s="9">
        <f>ROUND(-(SUMIFS('Revenues detail  24'!$H$1:$H$149,'Revenues detail  24'!$O$149:'Revenues detail  24'!$O$1,1000000143250)),0)</f>
        <v>7880</v>
      </c>
      <c r="H41" s="9"/>
      <c r="I41" s="9">
        <f>ROUND(-(SUMIFS('Revenues detail  24'!$P$1:$P$149,'Revenues detail  24'!$O$149:'Revenues detail  24'!$O$1,1000000143250)),0)</f>
        <v>54862</v>
      </c>
      <c r="J41" s="9"/>
      <c r="K41" s="9">
        <f t="shared" si="5"/>
        <v>46982</v>
      </c>
    </row>
    <row r="42" spans="2:15" x14ac:dyDescent="0.25">
      <c r="B42" t="s">
        <v>374</v>
      </c>
      <c r="C42" s="9">
        <f>ROUND(-(SUMIFS('Revenues detail  24'!$G$1:$G$149,'Revenues detail  24'!$O$149:'Revenues detail  24'!$O$1,1000000143290)),0)</f>
        <v>5000</v>
      </c>
      <c r="D42" s="9"/>
      <c r="E42" s="9">
        <f t="shared" si="4"/>
        <v>0</v>
      </c>
      <c r="F42" s="9"/>
      <c r="G42" s="9">
        <f>ROUND(-(SUMIFS('Revenues detail  24'!$H$1:$H$149,'Revenues detail  24'!$O$149:'Revenues detail  24'!$O$1,1000000143290)),0)</f>
        <v>5000</v>
      </c>
      <c r="H42" s="9"/>
      <c r="I42" s="9">
        <f>ROUND(-(SUMIFS('Revenues detail  24'!$P$1:$P$149,'Revenues detail  24'!$O$149:'Revenues detail  24'!$O$1,1000000143290)),0)</f>
        <v>1750</v>
      </c>
      <c r="J42" s="9"/>
      <c r="K42" s="9">
        <f t="shared" si="5"/>
        <v>-3250</v>
      </c>
    </row>
    <row r="43" spans="2:15" x14ac:dyDescent="0.25">
      <c r="B43" t="s">
        <v>512</v>
      </c>
      <c r="C43" s="9">
        <f>ROUND(-(SUMIFS('Revenues detail  24'!$G$1:$G$149,'Revenues detail  24'!$O$149:'Revenues detail  24'!$O$1,1000000143400)),0)</f>
        <v>0</v>
      </c>
      <c r="D43" s="9"/>
      <c r="E43" s="9">
        <f t="shared" si="4"/>
        <v>0</v>
      </c>
      <c r="F43" s="9"/>
      <c r="G43" s="9">
        <f>ROUND(-(SUMIFS('Revenues detail  24'!$H$1:$H$149,'Revenues detail  24'!$O$149:'Revenues detail  24'!$O$1,1000000143400)),0)</f>
        <v>0</v>
      </c>
      <c r="H43" s="9"/>
      <c r="I43" s="9">
        <f>ROUND(-(SUMIFS('Revenues detail  24'!$P$1:$P$149,'Revenues detail  24'!$O$149:'Revenues detail  24'!$O$1,1000000143400)),0)</f>
        <v>34783</v>
      </c>
      <c r="J43" s="9"/>
      <c r="K43" s="9">
        <f t="shared" si="5"/>
        <v>34783</v>
      </c>
    </row>
    <row r="44" spans="2:15" hidden="1" x14ac:dyDescent="0.25">
      <c r="B44" t="s">
        <v>376</v>
      </c>
      <c r="C44" s="9">
        <f>ROUND(-(SUMIFS('Revenues detail  24'!$G$1:$G$149,'Revenues detail  24'!$O$149:'Revenues detail  24'!$O$1,1000000143410)),0)</f>
        <v>0</v>
      </c>
      <c r="D44" s="9"/>
      <c r="E44" s="9"/>
      <c r="F44" s="9"/>
      <c r="G44" s="9">
        <f>ROUND(-(SUMIFS('Revenues detail  24'!$H$1:$H$149,'Revenues detail  24'!$O$149:'Revenues detail  24'!$O$1,1000000143410)),0)</f>
        <v>0</v>
      </c>
      <c r="H44" s="9"/>
      <c r="I44" s="9">
        <f>ROUND(-(SUMIFS('Revenues detail  24'!$P$1:$P$149,'Revenues detail  24'!$O$149:'Revenues detail  24'!$O$1,1000000143410)),0)</f>
        <v>0</v>
      </c>
      <c r="J44" s="9"/>
      <c r="K44" s="9">
        <f t="shared" si="5"/>
        <v>0</v>
      </c>
    </row>
    <row r="45" spans="2:15" hidden="1" x14ac:dyDescent="0.25">
      <c r="B45" t="s">
        <v>375</v>
      </c>
      <c r="C45" s="9">
        <f>ROUND(-(SUMIFS('Revenues detail  24'!$G$1:$G$149,'Revenues detail  24'!$O$149:'Revenues detail  24'!$O$1,1000000143450)),0)</f>
        <v>0</v>
      </c>
      <c r="D45" s="9"/>
      <c r="E45" s="9"/>
      <c r="F45" s="9"/>
      <c r="G45" s="9">
        <f>ROUND(-(SUMIFS('Revenues detail  24'!$H$1:$H$149,'Revenues detail  24'!$O$149:'Revenues detail  24'!$O$1,1000000143450)),0)</f>
        <v>0</v>
      </c>
      <c r="H45" s="9"/>
      <c r="I45" s="9">
        <f>ROUND(-(SUMIFS('Revenues detail  24'!$P$1:$P$149,'Revenues detail  24'!$O$149:'Revenues detail  24'!$O$1,1000000143450)),0)</f>
        <v>0</v>
      </c>
      <c r="J45" s="9"/>
      <c r="K45" s="9">
        <f t="shared" si="5"/>
        <v>0</v>
      </c>
    </row>
    <row r="46" spans="2:15" hidden="1" x14ac:dyDescent="0.25">
      <c r="B46" t="s">
        <v>377</v>
      </c>
      <c r="C46" s="9">
        <f>ROUND(-(SUMIFS('Revenues detail  24'!$G$1:$G$149,'Revenues detail  24'!$O$149:'Revenues detail  24'!$O$1,"1000000143CARE")),0)</f>
        <v>0</v>
      </c>
      <c r="D46" s="9"/>
      <c r="E46" s="9"/>
      <c r="F46" s="9"/>
      <c r="G46" s="9">
        <f>ROUND(-(SUMIFS('Revenues detail  24'!$H$1:$H$149,'Revenues detail  24'!$O$149:'Revenues detail  24'!$O$1,"100000014CARE")),0)</f>
        <v>0</v>
      </c>
      <c r="H46" s="9"/>
      <c r="I46" s="9">
        <f>ROUND(-(SUMIFS('Revenues detail  24'!$P$1:$P$149,'Revenues detail  24'!$O$149:'Revenues detail  24'!$O$1,"100000014CARE")),0)</f>
        <v>0</v>
      </c>
      <c r="J46" s="9"/>
      <c r="K46" s="9">
        <f t="shared" si="5"/>
        <v>0</v>
      </c>
    </row>
    <row r="47" spans="2:15" x14ac:dyDescent="0.25">
      <c r="B47" s="22" t="s">
        <v>447</v>
      </c>
      <c r="C47" s="11">
        <f>SUM(C30:C46)</f>
        <v>10783780</v>
      </c>
      <c r="D47" s="9"/>
      <c r="E47" s="11">
        <f>SUM(E30:E46)</f>
        <v>0</v>
      </c>
      <c r="F47" s="9"/>
      <c r="G47" s="11">
        <f>SUM(G30:G46)</f>
        <v>10783780</v>
      </c>
      <c r="H47" s="9"/>
      <c r="I47" s="11">
        <f>SUM(I30:I46)</f>
        <v>10929563</v>
      </c>
      <c r="J47" s="9"/>
      <c r="K47" s="11">
        <f>SUM(K30:K46)</f>
        <v>145783</v>
      </c>
      <c r="N47" s="7">
        <f>+G47/$G$102</f>
        <v>6.1904775436046784E-2</v>
      </c>
      <c r="O47" s="7">
        <f>+I47/G47</f>
        <v>1.0135187290541907</v>
      </c>
    </row>
    <row r="48" spans="2:15" x14ac:dyDescent="0.25"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25">
      <c r="A49" t="s">
        <v>378</v>
      </c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B50" t="s">
        <v>379</v>
      </c>
      <c r="C50" s="9">
        <f>ROUND(-(SUMIFS('Revenues detail  24'!$G$1:$G$149,'Revenues detail  24'!$O$149:'Revenues detail  24'!$O$1,1000000144010)+SUMIFS('Revenues detail  24'!$G$1:$G$149,'Revenues detail  24'!$O$149:'Revenues detail  24'!$O$1,1000000144020)+SUMIFS('Revenues detail  24'!$G$1:$G$149,'Revenues detail  24'!$O$149:'Revenues detail  24'!$O$1,1000000144030)+SUMIFS('Revenues detail  24'!$G$1:$G$149,'Revenues detail  24'!$O$149:'Revenues detail  24'!$O$1,1000000144040)+SUMIFS('Revenues detail  24'!$G$1:$G$149,'Revenues detail  24'!$O$149:'Revenues detail  24'!$O$1,1000000144050)),0)</f>
        <v>8908316</v>
      </c>
      <c r="D50" s="9"/>
      <c r="E50" s="9">
        <f t="shared" ref="E50:E72" si="6">+G50-C50</f>
        <v>0</v>
      </c>
      <c r="F50" s="9"/>
      <c r="G50" s="9">
        <f>ROUND(-(SUMIFS('Revenues detail  24'!$H$1:$H$149,'Revenues detail  24'!$O$149:'Revenues detail  24'!$O$1,1000000144010)+SUMIFS('Revenues detail  24'!$H$1:$H$149,'Revenues detail  24'!$O$149:'Revenues detail  24'!$O$1,1000000144020)+SUMIFS('Revenues detail  24'!$H$1:$H$149,'Revenues detail  24'!$O$149:'Revenues detail  24'!$O$1,1000000144030)+SUMIFS('Revenues detail  24'!$H$1:$H$149,'Revenues detail  24'!$O$149:'Revenues detail  24'!$O$1,1000000144040)+SUMIFS('Revenues detail  24'!$H$1:$H$149,'Revenues detail  24'!$O$149:'Revenues detail  24'!$O$1,1000000144050)),0)</f>
        <v>8908316</v>
      </c>
      <c r="H50" s="9"/>
      <c r="I50" s="9">
        <f>ROUND(-(SUMIFS('Revenues detail  24'!$P$1:$P$149,'Revenues detail  24'!$O$149:'Revenues detail  24'!$O$1,1000000144010)+SUMIFS('Revenues detail  24'!$P$1:$P$149,'Revenues detail  24'!$O$149:'Revenues detail  24'!$O$1,1000000144020)+SUMIFS('Revenues detail  24'!$P$1:$P$149,'Revenues detail  24'!$O$149:'Revenues detail  24'!$O$1,1000000144030)+SUMIFS('Revenues detail  24'!$P$1:$P$149,'Revenues detail  24'!$O$149:'Revenues detail  24'!$O$1,1000000144040)+SUMIFS('Revenues detail  24'!$P$1:$P$149,'Revenues detail  24'!$O$149:'Revenues detail  24'!$O$1,1000000144070)+SUMIFS('Revenues detail  24'!$P$1:$P$149,'Revenues detail  24'!$O$149:'Revenues detail  24'!$O$1,1000000144050)),0)</f>
        <v>7565085</v>
      </c>
      <c r="J50" s="9"/>
      <c r="K50" s="9">
        <f t="shared" ref="K50:K59" si="7">+I50-G50</f>
        <v>-1343231</v>
      </c>
    </row>
    <row r="51" spans="1:11" x14ac:dyDescent="0.25">
      <c r="B51" t="s">
        <v>380</v>
      </c>
      <c r="C51" s="9">
        <f>ROUND(-(SUMIFS('Revenues detail  24'!$G$1:$G$149,'Revenues detail  24'!$O$149:'Revenues detail  24'!$O$1,1000000144100)),0)</f>
        <v>43900</v>
      </c>
      <c r="D51" s="9"/>
      <c r="E51" s="9">
        <f t="shared" si="6"/>
        <v>0</v>
      </c>
      <c r="F51" s="9"/>
      <c r="G51" s="9">
        <f>ROUND(-(SUMIFS('Revenues detail  24'!$H$1:$H$149,'Revenues detail  24'!$O$149:'Revenues detail  24'!$O$1,1000000144100)),0)</f>
        <v>43900</v>
      </c>
      <c r="H51" s="9"/>
      <c r="I51" s="9">
        <f>ROUND(-(SUMIFS('Revenues detail  24'!$P$1:$P$149,'Revenues detail  24'!$O$149:'Revenues detail  24'!$O$1,1000000144100)),0)</f>
        <v>35285</v>
      </c>
      <c r="J51" s="9"/>
      <c r="K51" s="9">
        <f t="shared" si="7"/>
        <v>-8615</v>
      </c>
    </row>
    <row r="52" spans="1:11" x14ac:dyDescent="0.25">
      <c r="B52" t="s">
        <v>381</v>
      </c>
      <c r="C52" s="9">
        <f>ROUND(-(SUMIFS('Revenues detail  24'!$G$1:$G$149,'Revenues detail  24'!$O$149:'Revenues detail  24'!$O$1,1000000144110)+SUMIFS('Revenues detail  24'!$G$1:$G$149,'Revenues detail  24'!$O$149:'Revenues detail  24'!$O$1,1000000144120)+SUMIFS('Revenues detail  24'!$G$1:$G$149,'Revenues detail  24'!$O$149:'Revenues detail  24'!$O$1,1000000144130)),0)</f>
        <v>715000</v>
      </c>
      <c r="D52" s="9"/>
      <c r="E52" s="9">
        <f t="shared" si="6"/>
        <v>0</v>
      </c>
      <c r="F52" s="9"/>
      <c r="G52" s="9">
        <f>ROUND(-(SUMIFS('Revenues detail  24'!$H$1:$H$149,'Revenues detail  24'!$O$149:'Revenues detail  24'!$O$1,1000000144110)+SUMIFS('Revenues detail  24'!$H$1:$H$149,'Revenues detail  24'!$O$149:'Revenues detail  24'!$O$1,1000000144120)+SUMIFS('Revenues detail  24'!$H$1:$H$149,'Revenues detail  24'!$O$149:'Revenues detail  24'!$O$1,1000000144130)),0)</f>
        <v>715000</v>
      </c>
      <c r="H52" s="9"/>
      <c r="I52" s="9">
        <f>ROUND(-(SUMIFS('Revenues detail  24'!$P$1:$P$149,'Revenues detail  24'!$O$149:'Revenues detail  24'!$O$1,1000000144110)+SUMIFS('Revenues detail  24'!$P$1:$P$149,'Revenues detail  24'!$O$149:'Revenues detail  24'!$O$1,1000000144120)+SUMIFS('Revenues detail  24'!$P$1:$P$149,'Revenues detail  24'!$O$149:'Revenues detail  24'!$O$1,1000000144130)),0)</f>
        <v>665012</v>
      </c>
      <c r="J52" s="9"/>
      <c r="K52" s="9">
        <f t="shared" si="7"/>
        <v>-49988</v>
      </c>
    </row>
    <row r="53" spans="1:11" x14ac:dyDescent="0.25">
      <c r="B53" t="s">
        <v>382</v>
      </c>
      <c r="C53" s="9">
        <f>ROUND(-(SUMIFS('Revenues detail  24'!$G$1:$G$149,'Revenues detail  24'!$O$149:'Revenues detail  24'!$O$1,1000000144135)+SUMIFS('Revenues detail  24'!$G$1:$G$149,'Revenues detail  24'!$O$149:'Revenues detail  24'!$O$1,1000000144136)),0)</f>
        <v>1600</v>
      </c>
      <c r="D53" s="9"/>
      <c r="E53" s="9">
        <f t="shared" si="6"/>
        <v>0</v>
      </c>
      <c r="F53" s="9"/>
      <c r="G53" s="9">
        <f>ROUND(-(SUMIFS('Revenues detail  24'!$H$1:$H$149,'Revenues detail  24'!$O$149:'Revenues detail  24'!$O$1,1000000144135)+SUMIFS('Revenues detail  24'!$H$1:$H$149,'Revenues detail  24'!$O$149:'Revenues detail  24'!$O$1,1000000144136)),0)</f>
        <v>1600</v>
      </c>
      <c r="H53" s="9"/>
      <c r="I53" s="9">
        <f>ROUND(-(SUMIFS('Revenues detail  24'!$P$1:$P$149,'Revenues detail  24'!$O$149:'Revenues detail  24'!$O$1,1000000144135)+SUMIFS('Revenues detail  24'!$P$1:$P$149,'Revenues detail  24'!$O$149:'Revenues detail  24'!$O$1,1000000144136)),0)</f>
        <v>0</v>
      </c>
      <c r="J53" s="9"/>
      <c r="K53" s="9">
        <f t="shared" si="7"/>
        <v>-1600</v>
      </c>
    </row>
    <row r="54" spans="1:11" x14ac:dyDescent="0.25">
      <c r="B54" t="s">
        <v>383</v>
      </c>
      <c r="C54" s="9">
        <f>ROUND(-(SUMIFS('Revenues detail  24'!$G$1:$G$149,'Revenues detail  24'!$O$149:'Revenues detail  24'!$O$1,1000000144136)+SUMIFS('Revenues detail  24'!$G$1:$G$149,'Revenues detail  24'!$O$149:'Revenues detail  24'!$O$1,1000000144140)+SUMIFS('Revenues detail  24'!$G$1:$G$149,'Revenues detail  24'!$O$149:'Revenues detail  24'!$O$1,1000000144145)+SUMIFS('Revenues detail  24'!$G$1:$G$149,'Revenues detail  24'!$O$149:'Revenues detail  24'!$O$1,"100000014414A")+SUMIFS('Revenues detail  24'!$G$1:$G$149,'Revenues detail  24'!$O$149:'Revenues detail  24'!$O$1,"100000014414B")+SUMIFS('Revenues detail  24'!$G$1:$G$149,'Revenues detail  24'!$O$149:'Revenues detail  24'!$O$1,"100000014414C")+SUMIFS('Revenues detail  24'!$G$1:$G$149,'Revenues detail  24'!$O$149:'Revenues detail  24'!$O$1,"100000014414D")),0)</f>
        <v>121000</v>
      </c>
      <c r="D54" s="9"/>
      <c r="E54" s="9">
        <f t="shared" si="6"/>
        <v>0</v>
      </c>
      <c r="F54" s="9"/>
      <c r="G54" s="9">
        <f>ROUND(-(SUMIFS('Revenues detail  24'!$H$1:$H$149,'Revenues detail  24'!$O$149:'Revenues detail  24'!$O$1,1000000144136)+SUMIFS('Revenues detail  24'!$H$1:$H$149,'Revenues detail  24'!$O$149:'Revenues detail  24'!$O$1,1000000144140)+SUMIFS('Revenues detail  24'!$H$1:$H$149,'Revenues detail  24'!$O$149:'Revenues detail  24'!$O$1,1000000144145)+SUMIFS('Revenues detail  24'!$H$1:$H$149,'Revenues detail  24'!$O$149:'Revenues detail  24'!$O$1,"100000014414A")+SUMIFS('Revenues detail  24'!$H$1:$H$149,'Revenues detail  24'!$O$149:'Revenues detail  24'!$O$1,"100000014414B")+SUMIFS('Revenues detail  24'!$H$1:$H$149,'Revenues detail  24'!$O$149:'Revenues detail  24'!$O$1,"100000014414C")+SUMIFS('Revenues detail  24'!$H$1:$H$149,'Revenues detail  24'!$O$149:'Revenues detail  24'!$O$1,"100000014414D")),0)</f>
        <v>121000</v>
      </c>
      <c r="H54" s="9"/>
      <c r="I54" s="9">
        <f>ROUND(-(SUMIFS('Revenues detail  24'!$P$1:$P$149,'Revenues detail  24'!$O$149:'Revenues detail  24'!$O$1,1000000144136)+SUMIFS('Revenues detail  24'!$P$1:$P$149,'Revenues detail  24'!$O$149:'Revenues detail  24'!$O$1,1000000144140)+SUMIFS('Revenues detail  24'!$P$1:$P$149,'Revenues detail  24'!$O$149:'Revenues detail  24'!$O$1,1000000144145)+SUMIFS('Revenues detail  24'!$P$1:$P$149,'Revenues detail  24'!$O$149:'Revenues detail  24'!$O$1,"100000014414A")+SUMIFS('Revenues detail  24'!$P$1:$P$149,'Revenues detail  24'!$O$149:'Revenues detail  24'!$O$1,"100000014414B")+SUMIFS('Revenues detail  24'!$P$1:$P$149,'Revenues detail  24'!$O$149:'Revenues detail  24'!$O$1,"100000014414C")+SUMIFS('Revenues detail  24'!$P$1:$P$149,'Revenues detail  24'!$O$149:'Revenues detail  24'!$O$1,"100000014414D")),0)</f>
        <v>174389</v>
      </c>
      <c r="J54" s="9"/>
      <c r="K54" s="9">
        <f t="shared" si="7"/>
        <v>53389</v>
      </c>
    </row>
    <row r="55" spans="1:11" x14ac:dyDescent="0.25">
      <c r="B55" t="s">
        <v>384</v>
      </c>
      <c r="C55" s="9">
        <f>ROUND(-(SUMIFS('Revenues detail  24'!$G$1:$G$149,'Revenues detail  24'!$O$149:'Revenues detail  24'!$O$1,1000000144150)+SUMIFS('Revenues detail  24'!$G$1:$G$149,'Revenues detail  24'!$O$149:'Revenues detail  24'!$O$1,1000000144155)+SUMIFS('Revenues detail  24'!$G$1:$G$149,'Revenues detail  24'!$O$149:'Revenues detail  24'!$O$1,1000000144160)),0)</f>
        <v>130821</v>
      </c>
      <c r="D55" s="9"/>
      <c r="E55" s="9">
        <f t="shared" si="6"/>
        <v>0</v>
      </c>
      <c r="F55" s="9"/>
      <c r="G55" s="9">
        <f>ROUND(-(SUMIFS('Revenues detail  24'!$H$1:$H$149,'Revenues detail  24'!$O$149:'Revenues detail  24'!$O$1,1000000144150)+SUMIFS('Revenues detail  24'!$H$1:$H$149,'Revenues detail  24'!$O$149:'Revenues detail  24'!$O$1,1000000144155)+SUMIFS('Revenues detail  24'!$H$1:$H$149,'Revenues detail  24'!$O$149:'Revenues detail  24'!$O$1,1000000144160)),0)</f>
        <v>130821</v>
      </c>
      <c r="H55" s="9"/>
      <c r="I55" s="9">
        <f>ROUND(-(SUMIFS('Revenues detail  24'!$P$1:$P$149,'Revenues detail  24'!$O$149:'Revenues detail  24'!$O$1,1000000144150)+SUMIFS('Revenues detail  24'!$P$1:$P$149,'Revenues detail  24'!$O$149:'Revenues detail  24'!$O$1,1000000144155)+SUMIFS('Revenues detail  24'!$P$1:$P$149,'Revenues detail  24'!$O$149:'Revenues detail  24'!$O$1,1000000144160)),0)</f>
        <v>134847</v>
      </c>
      <c r="J55" s="9"/>
      <c r="K55" s="9">
        <f t="shared" si="7"/>
        <v>4026</v>
      </c>
    </row>
    <row r="56" spans="1:11" x14ac:dyDescent="0.25">
      <c r="B56" t="s">
        <v>385</v>
      </c>
      <c r="C56" s="9">
        <f>ROUND(-(SUMIFS('Revenues detail  24'!$G$1:$G$149,'Revenues detail  24'!$O$149:'Revenues detail  24'!$O$1,1000000144170)+SUMIFS('Revenues detail  24'!$G$1:$G$149,'Revenues detail  24'!$O$149:'Revenues detail  24'!$O$1,1000000144175)+SUMIFS('Revenues detail  24'!$G$1:$G$149,'Revenues detail  24'!$O$149:'Revenues detail  24'!$O$1,1000000144180)),0)</f>
        <v>313126</v>
      </c>
      <c r="D56" s="9"/>
      <c r="E56" s="9">
        <f t="shared" si="6"/>
        <v>0</v>
      </c>
      <c r="F56" s="9"/>
      <c r="G56" s="9">
        <f>ROUND(-(SUMIFS('Revenues detail  24'!$H$1:$H$149,'Revenues detail  24'!$O$149:'Revenues detail  24'!$O$1,1000000144170)+SUMIFS('Revenues detail  24'!$H$1:$H$149,'Revenues detail  24'!$O$149:'Revenues detail  24'!$O$1,1000000144175)+SUMIFS('Revenues detail  24'!$H$1:$H$149,'Revenues detail  24'!$O$149:'Revenues detail  24'!$O$1,1000000144180)),0)</f>
        <v>313126</v>
      </c>
      <c r="H56" s="9"/>
      <c r="I56" s="9">
        <f>ROUND(-(SUMIFS('Revenues detail  24'!$P$1:$P$149,'Revenues detail  24'!$O$149:'Revenues detail  24'!$O$1,1000000144170)+SUMIFS('Revenues detail  24'!$P$1:$P$149,'Revenues detail  24'!$O$149:'Revenues detail  24'!$O$1,1000000144175)+SUMIFS('Revenues detail  24'!$P$1:$P$149,'Revenues detail  24'!$O$149:'Revenues detail  24'!$O$1,1000000144180)),0)</f>
        <v>257224</v>
      </c>
      <c r="J56" s="9"/>
      <c r="K56" s="9">
        <f t="shared" si="7"/>
        <v>-55902</v>
      </c>
    </row>
    <row r="57" spans="1:11" x14ac:dyDescent="0.25">
      <c r="B57" t="s">
        <v>386</v>
      </c>
      <c r="C57" s="9">
        <f>ROUND(-(SUMIFS('Revenues detail  24'!$G$1:$G$149,'Revenues detail  24'!$O$149:'Revenues detail  24'!$O$1,1000000144190)+SUMIFS('Revenues detail  24'!$G$1:$G$149,'Revenues detail  24'!$O$149:'Revenues detail  24'!$O$1,1000000144195)),0)</f>
        <v>100000</v>
      </c>
      <c r="D57" s="9"/>
      <c r="E57" s="9">
        <f t="shared" si="6"/>
        <v>0</v>
      </c>
      <c r="F57" s="9"/>
      <c r="G57" s="9">
        <f>ROUND(-(SUMIFS('Revenues detail  24'!$H$1:$H$149,'Revenues detail  24'!$O$149:'Revenues detail  24'!$O$1,1000000144190)+SUMIFS('Revenues detail  24'!$H$1:$H$149,'Revenues detail  24'!$O$149:'Revenues detail  24'!$O$1,1000000144195)),0)</f>
        <v>100000</v>
      </c>
      <c r="H57" s="9"/>
      <c r="I57" s="9">
        <f>ROUND(-(SUMIFS('Revenues detail  24'!$P$1:$P$149,'Revenues detail  24'!$O$149:'Revenues detail  24'!$O$1,1000000144190)+SUMIFS('Revenues detail  24'!$P$1:$P$149,'Revenues detail  24'!$O$149:'Revenues detail  24'!$O$1,1000000144195)),0)</f>
        <v>90292</v>
      </c>
      <c r="J57" s="9"/>
      <c r="K57" s="9">
        <f t="shared" si="7"/>
        <v>-9708</v>
      </c>
    </row>
    <row r="58" spans="1:11" x14ac:dyDescent="0.25">
      <c r="B58" t="s">
        <v>387</v>
      </c>
      <c r="C58" s="9">
        <f>ROUND(-(SUMIFS('Revenues detail  24'!$G$1:$G$149,'Revenues detail  24'!$O$149:'Revenues detail  24'!$O$1,1000000144205)+SUMIFS('Revenues detail  24'!$G$1:$G$149,'Revenues detail  24'!$O$149:'Revenues detail  24'!$O$1,1000000144210)+SUMIFS('Revenues detail  24'!$G$1:$G$149,'Revenues detail  24'!$O$149:'Revenues detail  24'!$O$1,1000000144200)),0)</f>
        <v>15100</v>
      </c>
      <c r="D58" s="9"/>
      <c r="E58" s="9">
        <f t="shared" si="6"/>
        <v>0</v>
      </c>
      <c r="F58" s="9"/>
      <c r="G58" s="9">
        <f>ROUND(-(SUMIFS('Revenues detail  24'!$H$1:$H$149,'Revenues detail  24'!$O$149:'Revenues detail  24'!$O$1,1000000144205)+SUMIFS('Revenues detail  24'!$H$1:$H$149,'Revenues detail  24'!$O$149:'Revenues detail  24'!$O$1,1000000144210)+SUMIFS('Revenues detail  24'!$H$1:$H$149,'Revenues detail  24'!$O$149:'Revenues detail  24'!$O$1,1000000144200)),0)</f>
        <v>15100</v>
      </c>
      <c r="H58" s="9"/>
      <c r="I58" s="9">
        <f>ROUND(-(SUMIFS('Revenues detail  24'!$P$1:$P$149,'Revenues detail  24'!$O$149:'Revenues detail  24'!$O$1,1000000144205)+SUMIFS('Revenues detail  24'!$P$1:$P$149,'Revenues detail  24'!$O$149:'Revenues detail  24'!$O$1,1000000144210)+SUMIFS('Revenues detail  24'!$P$1:$P$149,'Revenues detail  24'!$O$149:'Revenues detail  24'!$O$1,1000000144200)),0)</f>
        <v>42213</v>
      </c>
      <c r="J58" s="9"/>
      <c r="K58" s="9">
        <f t="shared" si="7"/>
        <v>27113</v>
      </c>
    </row>
    <row r="59" spans="1:11" x14ac:dyDescent="0.25">
      <c r="B59" t="s">
        <v>388</v>
      </c>
      <c r="C59" s="9">
        <f>ROUND(-(SUMIFS('Revenues detail  24'!$G$1:$G$149,'Revenues detail  24'!$O$149:'Revenues detail  24'!$O$1,1000000144220)+SUMIFS('Revenues detail  24'!$G$1:$G$149,'Revenues detail  24'!$O$149:'Revenues detail  24'!$O$1,1000000144225)),0)</f>
        <v>3613000</v>
      </c>
      <c r="D59" s="9"/>
      <c r="E59" s="9">
        <f t="shared" si="6"/>
        <v>0</v>
      </c>
      <c r="F59" s="9"/>
      <c r="G59" s="9">
        <f>ROUND(-(SUMIFS('Revenues detail  24'!$H$1:$H$149,'Revenues detail  24'!$O$149:'Revenues detail  24'!$O$1,1000000144220)+SUMIFS('Revenues detail  24'!$H$1:$H$149,'Revenues detail  24'!$O$149:'Revenues detail  24'!$O$1,1000000144225)),0)</f>
        <v>3613000</v>
      </c>
      <c r="H59" s="9"/>
      <c r="I59" s="9">
        <f>ROUND(-(SUMIFS('Revenues detail  24'!$P$1:$P$149,'Revenues detail  24'!$O$149:'Revenues detail  24'!$O$1,1000000144220)+SUMIFS('Revenues detail  24'!$P$1:$P$149,'Revenues detail  24'!$O$149:'Revenues detail  24'!$O$1,1000000144225)),0)</f>
        <v>5097371</v>
      </c>
      <c r="J59" s="9"/>
      <c r="K59" s="9">
        <f t="shared" si="7"/>
        <v>1484371</v>
      </c>
    </row>
    <row r="60" spans="1:11" x14ac:dyDescent="0.25">
      <c r="B60" t="s">
        <v>389</v>
      </c>
      <c r="C60" s="9">
        <f>ROUND(-(SUMIFS('Revenues detail  24'!$G$1:$G$149,'Revenues detail  24'!$O$149:'Revenues detail  24'!$O$1,1000000144260)),0)</f>
        <v>81000</v>
      </c>
      <c r="D60" s="9"/>
      <c r="E60" s="9">
        <f t="shared" si="6"/>
        <v>0</v>
      </c>
      <c r="F60" s="9"/>
      <c r="G60" s="9">
        <f>ROUND(-(SUMIFS('Revenues detail  24'!$H$1:$H$149,'Revenues detail  24'!$O$149:'Revenues detail  24'!$O$1,1000000144260)),0)</f>
        <v>81000</v>
      </c>
      <c r="H60" s="9"/>
      <c r="I60" s="9">
        <f>ROUND(-(SUMIFS('Revenues detail  24'!$P$1:$P$149,'Revenues detail  24'!$O$149:'Revenues detail  24'!$O$1,1000000144260)),0)</f>
        <v>111194</v>
      </c>
      <c r="J60" s="9"/>
      <c r="K60" s="9">
        <f>+I60-G60</f>
        <v>30194</v>
      </c>
    </row>
    <row r="61" spans="1:11" x14ac:dyDescent="0.25">
      <c r="B61" t="s">
        <v>390</v>
      </c>
      <c r="C61" s="9">
        <f>ROUND(-(SUMIFS('Revenues detail  24'!$G$1:$G$149,'Revenues detail  24'!$O$149:'Revenues detail  24'!$O$1,1000000144280)+SUMIFS('Revenues detail  24'!$G$1:$G$149,'Revenues detail  24'!$O$149:'Revenues detail  24'!$O$1,1000000144281)),0)</f>
        <v>7000</v>
      </c>
      <c r="D61" s="9"/>
      <c r="E61" s="9">
        <f t="shared" si="6"/>
        <v>0</v>
      </c>
      <c r="F61" s="9"/>
      <c r="G61" s="9">
        <f>ROUND(-(SUMIFS('Revenues detail  24'!$H$1:$H$149,'Revenues detail  24'!$O$149:'Revenues detail  24'!$O$1,1000000144280)+SUMIFS('Revenues detail  24'!$H$1:$H$149,'Revenues detail  24'!$O$149:'Revenues detail  24'!$O$1,1000000144281)),0)</f>
        <v>7000</v>
      </c>
      <c r="H61" s="9"/>
      <c r="I61" s="9">
        <f>ROUND(-(SUMIFS('Revenues detail  24'!$P$1:$P$149,'Revenues detail  24'!$O$149:'Revenues detail  24'!$O$1,1000000144280)+SUMIFS('Revenues detail  24'!$P$1:$P$149,'Revenues detail  24'!$O$149:'Revenues detail  24'!$O$1,1000000144281)),0)</f>
        <v>9205</v>
      </c>
      <c r="J61" s="9"/>
      <c r="K61" s="9">
        <f>+I61-G61</f>
        <v>2205</v>
      </c>
    </row>
    <row r="62" spans="1:11" x14ac:dyDescent="0.25">
      <c r="B62" t="s">
        <v>391</v>
      </c>
      <c r="C62" s="9">
        <f>ROUND(-(SUMIFS('Revenues detail  24'!$G$1:$G$149,'Revenues detail  24'!$O$149:'Revenues detail  24'!$O$1,1000000144300)),0)</f>
        <v>3000</v>
      </c>
      <c r="D62" s="9"/>
      <c r="E62" s="9">
        <f t="shared" si="6"/>
        <v>0</v>
      </c>
      <c r="F62" s="9"/>
      <c r="G62" s="9">
        <f>ROUND(-(SUMIFS('Revenues detail  24'!$H$1:$H$149,'Revenues detail  24'!$O$149:'Revenues detail  24'!$O$1,1000000144300)),0)</f>
        <v>3000</v>
      </c>
      <c r="H62" s="9"/>
      <c r="I62" s="9">
        <f>ROUND(-(SUMIFS('Revenues detail  24'!$P$1:$P$149,'Revenues detail  24'!$O$149:'Revenues detail  24'!$O$1,1000000144300)),0)</f>
        <v>3283</v>
      </c>
      <c r="J62" s="9"/>
      <c r="K62" s="9">
        <f>+I62-G62</f>
        <v>283</v>
      </c>
    </row>
    <row r="63" spans="1:11" x14ac:dyDescent="0.25">
      <c r="B63" t="s">
        <v>392</v>
      </c>
      <c r="C63" s="9">
        <f>ROUND(-(SUMIFS('Revenues detail  24'!$G$1:$G$149,'Revenues detail  24'!$O$149:'Revenues detail  24'!$O$1,1000000144360)+SUMIFS('Revenues detail  24'!$G$1:$G$149,'Revenues detail  24'!$O$149:'Revenues detail  24'!$O$1,1000000144330)+SUMIFS('Revenues detail  24'!$G$1:$G$149,'Revenues detail  24'!$O$149:'Revenues detail  24'!$O$1,1000000144370)+SUMIFS('Revenues detail  24'!$G$1:$G$149,'Revenues detail  24'!$O$149:'Revenues detail  24'!$O$1,1000000144375)+SUMIFS('Revenues detail  24'!$G$1:$G$149,'Revenues detail  24'!$O$149:'Revenues detail  24'!$O$1,1000000144380)+SUMIFS('Revenues detail  24'!$G$1:$G$149,'Revenues detail  24'!$O$149:'Revenues detail  24'!$O$1,1000000144400)),0)</f>
        <v>7500</v>
      </c>
      <c r="D63" s="9"/>
      <c r="E63" s="9">
        <f t="shared" si="6"/>
        <v>0</v>
      </c>
      <c r="F63" s="9"/>
      <c r="G63" s="9">
        <f>ROUND(-(SUMIFS('Revenues detail  24'!$H$1:$H$149,'Revenues detail  24'!$O$149:'Revenues detail  24'!$O$1,1000000144360)+SUMIFS('Revenues detail  24'!$H$1:$H$149,'Revenues detail  24'!$O$149:'Revenues detail  24'!$O$1,1000000144330)+SUMIFS('Revenues detail  24'!$H$1:$H$149,'Revenues detail  24'!$O$149:'Revenues detail  24'!$O$1,1000000144370)+SUMIFS('Revenues detail  24'!$H$1:$H$149,'Revenues detail  24'!$O$149:'Revenues detail  24'!$O$1,1000000144375)+SUMIFS('Revenues detail  24'!$H$1:$H$149,'Revenues detail  24'!$O$149:'Revenues detail  24'!$O$1,1000000144380)+SUMIFS('Revenues detail  24'!$H$1:$H$149,'Revenues detail  24'!$O$149:'Revenues detail  24'!$O$1,1000000144400)),0)</f>
        <v>7500</v>
      </c>
      <c r="H63" s="9"/>
      <c r="I63" s="9">
        <f>ROUND(-(SUMIFS('Revenues detail  24'!$P$1:$P$149,'Revenues detail  24'!$O$149:'Revenues detail  24'!$O$1,1000000144330)+SUMIFS('Revenues detail  24'!$P$1:$P$149,'Revenues detail  24'!$O$149:'Revenues detail  24'!$O$1,1000000144360)+SUMIFS('Revenues detail  24'!$P$1:$P$149,'Revenues detail  24'!$O$149:'Revenues detail  24'!$O$1,1000000144370)+SUMIFS('Revenues detail  24'!$P$1:$P$149,'Revenues detail  24'!$O$149:'Revenues detail  24'!$O$1,1000000144375) +SUMIFS('Revenues detail  24'!$P$1:$P$149,'Revenues detail  24'!$O$149:'Revenues detail  24'!$O$1,1000000144499)),0)</f>
        <v>14419</v>
      </c>
      <c r="J63" s="9"/>
      <c r="K63" s="9">
        <f>+I63-G63</f>
        <v>6919</v>
      </c>
    </row>
    <row r="64" spans="1:11" x14ac:dyDescent="0.25">
      <c r="B64" t="s">
        <v>393</v>
      </c>
      <c r="C64" s="9">
        <f>ROUND(-(SUMIFS('Revenues detail  24'!$G$1:$G$149,'Revenues detail  24'!$O$149:'Revenues detail  24'!$O$1,1000110244510)),0)</f>
        <v>0</v>
      </c>
      <c r="D64" s="9"/>
      <c r="E64" s="9">
        <f t="shared" si="6"/>
        <v>0</v>
      </c>
      <c r="F64" s="9"/>
      <c r="G64" s="9">
        <f>ROUND(-(SUMIFS('Revenues detail  24'!$H$1:$H$149,'Revenues detail  24'!$O$149:'Revenues detail  24'!$O$1,1000110244510)),0)</f>
        <v>0</v>
      </c>
      <c r="H64" s="9"/>
      <c r="I64" s="9">
        <f>ROUND(-(SUMIFS('Revenues detail  24'!$P$1:$P$149,'Revenues detail  24'!$O$149:'Revenues detail  24'!$O$1,1000110244510)),0)</f>
        <v>0</v>
      </c>
      <c r="J64" s="9"/>
      <c r="K64" s="9">
        <f t="shared" ref="K64:K72" si="8">+I64-G64</f>
        <v>0</v>
      </c>
    </row>
    <row r="65" spans="1:16" x14ac:dyDescent="0.25">
      <c r="B65" t="s">
        <v>394</v>
      </c>
      <c r="C65" s="9">
        <f>ROUND(-(SUMIFS('Revenues detail  24'!$G$1:$G$149,'Revenues detail  24'!$O$149:'Revenues detail  24'!$O$1,1000000144720)),0)</f>
        <v>5000</v>
      </c>
      <c r="D65" s="9"/>
      <c r="E65" s="9">
        <f t="shared" si="6"/>
        <v>0</v>
      </c>
      <c r="F65" s="9"/>
      <c r="G65" s="9">
        <f>ROUND(-(SUMIFS('Revenues detail  24'!$H$1:$H$149,'Revenues detail  24'!$O$149:'Revenues detail  24'!$O$1,1000000144720)),0)</f>
        <v>5000</v>
      </c>
      <c r="H65" s="9"/>
      <c r="I65" s="9">
        <f>ROUND(-(SUMIFS('Revenues detail  24'!$P$1:$P$149,'Revenues detail  24'!$O$149:'Revenues detail  24'!$O$1,1000000144720)),0)</f>
        <v>505</v>
      </c>
      <c r="J65" s="9"/>
      <c r="K65" s="9">
        <f t="shared" si="8"/>
        <v>-4495</v>
      </c>
    </row>
    <row r="66" spans="1:16" x14ac:dyDescent="0.25">
      <c r="B66" t="s">
        <v>467</v>
      </c>
      <c r="C66" s="9">
        <f>ROUND(-(SUMIFS('Revenues detail  24'!$G$1:$G$149,'Revenues detail  24'!$O$149:'Revenues detail  24'!$O$1,1000000144735)),0)</f>
        <v>3300</v>
      </c>
      <c r="D66" s="9"/>
      <c r="E66" s="9">
        <f t="shared" si="6"/>
        <v>0</v>
      </c>
      <c r="F66" s="9"/>
      <c r="G66" s="9">
        <f>ROUND(-(SUMIFS('Revenues detail  24'!$H$1:$H$149,'Revenues detail  24'!$O$149:'Revenues detail  24'!$O$1,1000000144735)),0)</f>
        <v>3300</v>
      </c>
      <c r="H66" s="9"/>
      <c r="I66" s="9">
        <f>ROUND(-(SUMIFS('Revenues detail  24'!$P$1:$P$149,'Revenues detail  24'!$O$149:'Revenues detail  24'!$O$1,1000000144735)),0)</f>
        <v>565</v>
      </c>
      <c r="J66" s="9"/>
      <c r="K66" s="9">
        <f t="shared" si="8"/>
        <v>-2735</v>
      </c>
    </row>
    <row r="67" spans="1:16" x14ac:dyDescent="0.25">
      <c r="B67" t="s">
        <v>395</v>
      </c>
      <c r="C67" s="9">
        <f>ROUND(-(SUMIFS('Revenues detail  24'!$G$1:$G$149,'Revenues detail  24'!$O$149:'Revenues detail  24'!$O$1,1000000144736)),0)</f>
        <v>34800</v>
      </c>
      <c r="D67" s="9"/>
      <c r="E67" s="9">
        <f t="shared" si="6"/>
        <v>0</v>
      </c>
      <c r="F67" s="9"/>
      <c r="G67" s="9">
        <f>ROUND(-(SUMIFS('Revenues detail  24'!$H$1:$H$149,'Revenues detail  24'!$O$149:'Revenues detail  24'!$O$1,1000000144736)),0)</f>
        <v>34800</v>
      </c>
      <c r="H67" s="9"/>
      <c r="I67" s="9">
        <f>ROUND(-(SUMIFS('Revenues detail  24'!$P$1:$P$149,'Revenues detail  24'!$O$149:'Revenues detail  24'!$O$1,1000000144736)),0)</f>
        <v>0</v>
      </c>
      <c r="J67" s="9"/>
      <c r="K67" s="9">
        <f t="shared" si="8"/>
        <v>-34800</v>
      </c>
    </row>
    <row r="68" spans="1:16" x14ac:dyDescent="0.25">
      <c r="B68" t="s">
        <v>396</v>
      </c>
      <c r="C68" s="9">
        <f>ROUND(-(SUMIFS('Revenues detail  24'!$G$1:$G$149,'Revenues detail  24'!$O$149:'Revenues detail  24'!$O$1,1000000144760)),0)</f>
        <v>13000</v>
      </c>
      <c r="D68" s="9"/>
      <c r="E68" s="9">
        <f t="shared" si="6"/>
        <v>0</v>
      </c>
      <c r="F68" s="9"/>
      <c r="G68" s="9">
        <f>ROUND(-(SUMIFS('Revenues detail  24'!$H$1:$H$149,'Revenues detail  24'!$O$149:'Revenues detail  24'!$O$1,1000000144760)),0)</f>
        <v>13000</v>
      </c>
      <c r="H68" s="9"/>
      <c r="I68" s="9">
        <f>ROUND(-(SUMIFS('Revenues detail  24'!$P$1:$P$149,'Revenues detail  24'!$O$149:'Revenues detail  24'!$O$1,1000000144760)),0)</f>
        <v>13944</v>
      </c>
      <c r="J68" s="9"/>
      <c r="K68" s="9">
        <f t="shared" si="8"/>
        <v>944</v>
      </c>
    </row>
    <row r="69" spans="1:16" x14ac:dyDescent="0.25">
      <c r="B69" t="s">
        <v>397</v>
      </c>
      <c r="C69" s="9">
        <f>ROUND(-(SUMIFS('Revenues detail  24'!$G$1:$G$149,'Revenues detail  24'!$O$149:'Revenues detail  24'!$O$1,1000000144780)+SUMIFS('Revenues detail  24'!$G$1:$G$149,'Revenues detail  24'!$O$149:'Revenues detail  24'!$O$1,1000000144781)+SUMIFS('Revenues detail  24'!$G$1:$G$149,'Revenues detail  24'!$O$149:'Revenues detail  24'!$O$1,1000000144782)),0)</f>
        <v>11050</v>
      </c>
      <c r="D69" s="9"/>
      <c r="E69" s="9">
        <f t="shared" si="6"/>
        <v>0</v>
      </c>
      <c r="F69" s="9"/>
      <c r="G69" s="9">
        <f>ROUND(-(SUMIFS('Revenues detail  24'!$H$1:$H$149,'Revenues detail  24'!$O$149:'Revenues detail  24'!$O$1,1000000144780)+SUMIFS('Revenues detail  24'!$H$1:$H$149,'Revenues detail  24'!$O$149:'Revenues detail  24'!$O$1,1000000144781)+SUMIFS('Revenues detail  24'!$H$1:$H$149,'Revenues detail  24'!$O$149:'Revenues detail  24'!$O$1,1000000144782)),0)</f>
        <v>11050</v>
      </c>
      <c r="H69" s="9"/>
      <c r="I69" s="9">
        <f>ROUND(-(SUMIFS('Revenues detail  24'!$P$1:$P$149,'Revenues detail  24'!$O$149:'Revenues detail  24'!$O$1,1000000144780)+SUMIFS('Revenues detail  24'!$P$1:$P$149,'Revenues detail  24'!$O$149:'Revenues detail  24'!$O$1,1000000144781)+SUMIFS('Revenues detail  24'!$P$1:$P$149,'Revenues detail  24'!$O$149:'Revenues detail  24'!$O$1,1000000144782)),0)</f>
        <v>2298</v>
      </c>
      <c r="J69" s="9"/>
      <c r="K69" s="9">
        <f t="shared" si="8"/>
        <v>-8752</v>
      </c>
    </row>
    <row r="70" spans="1:16" x14ac:dyDescent="0.25">
      <c r="B70" t="s">
        <v>529</v>
      </c>
      <c r="C70" s="9">
        <f>ROUND(-(SUMIFS('Revenues detail  24'!$G$1:$G$149,'Revenues detail  24'!$O$149:'Revenues detail  24'!$O$1,1000106044429)),0)</f>
        <v>0</v>
      </c>
      <c r="D70" s="9"/>
      <c r="E70" s="9">
        <f t="shared" si="6"/>
        <v>0</v>
      </c>
      <c r="F70" s="9"/>
      <c r="G70" s="9">
        <f>ROUND(-(SUMIFS('Revenues detail  24'!$H$1:$H$149,'Revenues detail  24'!$O$149:'Revenues detail  24'!$O$1,1000106044429)),0)</f>
        <v>0</v>
      </c>
      <c r="H70" s="9"/>
      <c r="I70" s="9">
        <f>ROUND(-(SUMIFS('Revenues detail  24'!$P$1:$P$149,'Revenues detail  24'!$O$149:'Revenues detail  24'!$O$1,1000106044429)),0)</f>
        <v>0</v>
      </c>
      <c r="J70" s="9"/>
      <c r="K70" s="9">
        <f t="shared" si="8"/>
        <v>0</v>
      </c>
    </row>
    <row r="71" spans="1:16" x14ac:dyDescent="0.25">
      <c r="B71" t="s">
        <v>398</v>
      </c>
      <c r="C71" s="9">
        <f>ROUND(-(SUMIFS('Revenues detail  24'!$H$1:$H$149,'Revenues detail  24'!$O$149:'Revenues detail  24'!$O$1,1000060044400)+(SUMIFS('Revenues detail  24'!$H$1:$H$149,'Revenues detail  24'!$O$149:'Revenues detail  24'!$O$1,1000060044410))+(SUMIFS('Revenues detail  24'!$H$1:$H$149,'Revenues detail  24'!$O$149:'Revenues detail  24'!$O$1,1000000144449))+(SUMIFS('Revenues detail  24'!$H$1:$H$149,'Revenues detail  24'!$O$149:'Revenues detail  24'!$O$1,1000060044420))+(SUMIFS('Revenues detail  24'!$H$1:$H$149,'Revenues detail  24'!$O$149:'Revenues detail  24'!$O$1,1000060044430))+(SUMIFS('Revenues detail  24'!$H$1:$H$149,'Revenues detail  24'!$O$149:'Revenues detail  24'!$O$1,1000060444431))+(SUMIFS('Revenues detail  24'!$H$1:$H$149,'Revenues detail  24'!$O$149:'Revenues detail  24'!$O$1,1000060044432))+(SUMIFS('Revenues detail  24'!$H$1:$H$149,'Revenues detail  24'!$O$149:'Revenues detail  24'!$O$1,1000060044440))+(SUMIFS('Revenues detail  24'!$H$1:$H$149,'Revenues detail  24'!$O$149:'Revenues detail  24'!$O$1,1000060044449))+(SUMIFS('Revenues detail  24'!$H$1:$H$149,'Revenues detail  24'!$O$149:'Revenues detail  24'!$O$1,1000060044450))+(SUMIFS('Revenues detail  24'!$H$1:$H$149,'Revenues detail  24'!$O$149:'Revenues detail  24'!$O$1,1000060044499))+(SUMIFS('Revenues detail  24'!$H$1:$H$149,'Revenues detail  24'!$O$149:'Revenues detail  24'!$O$1,1000060244450))+(SUMIFS('Revenues detail  24'!$H$1:$H$149,'Revenues detail  24'!$O$149:'Revenues detail  24'!$O$1,1000060244451))+(SUMIFS('Revenues detail  24'!$H$1:$H$149,'Revenues detail  24'!$O$149:'Revenues detail  24'!$O$1,1000060244452)+(SUMIFS('Revenues detail  24'!$H$1:$H$149,'Revenues detail  24'!$O$149:'Revenues detail  24'!$O$1,1000060444400))+(SUMIFS('Revenues detail  24'!$H$1:$H$149,'Revenues detail  24'!$O$149:'Revenues detail  24'!$O$1,1000060444404))+(SUMIFS('Revenues detail  24'!$H$1:$H$149,'Revenues detail  24'!$O$149:'Revenues detail  24'!$O$1,1000060444405))+(SUMIFS('Revenues detail  24'!$H$1:$H$149,'Revenues detail  24'!$O$149:'Revenues detail  24'!$O$1,1000060444406))+(SUMIFS('Revenues detail  24'!$H$1:$H$149,'Revenues detail  24'!$O$149:'Revenues detail  24'!$O$1,1000060444408))+(SUMIFS('Revenues detail  24'!$H$1:$H$149,'Revenues detail  24'!$O$149:'Revenues detail  24'!$O$1,1000060444410))+(SUMIFS('Revenues detail  24'!$H$1:$H$149,'Revenues detail  24'!$O$149:'Revenues detail  24'!$O$1,1000060444414))+(SUMIFS('Revenues detail  24'!$H$1:$H$149,'Revenues detail  24'!$O$149:'Revenues detail  24'!$O$1,1000060444420))+(SUMIFS('Revenues detail  24'!$H$1:$H$149,'Revenues detail  24'!$O$149:'Revenues detail  24'!$O$1,1000060444430))+(SUMIFS('Revenues detail  24'!$H$1:$H$149,'Revenues detail  24'!$O$149:'Revenues detail  24'!$O$1,1000060444432))+(SUMIFS('Revenues detail  24'!$H$1:$H$149,'Revenues detail  24'!$O$149:'Revenues detail  24'!$O$1,1000060444440))+(SUMIFS('Revenues detail  24'!$H$1:$H$149,'Revenues detail  24'!$O$149:'Revenues detail  24'!$O$1,1000060444442))+(SUMIFS('Revenues detail  24'!$H$1:$H$149,'Revenues detail  24'!$O$149:'Revenues detail  24'!$O$1,1000060444449))+(SUMIFS('Revenues detail  24'!$H$1:$H$149,'Revenues detail  24'!$O$149:'Revenues detail  24'!$O$1,1000060444450))+(SUMIFS('Revenues detail  24'!$H$1:$H$149,'Revenues detail  24'!$O$149:'Revenues detail  24'!$O$1,1000060444499))+(SUMIFS('Revenues detail  24'!$H$1:$H$149,'Revenues detail  24'!$O$149:'Revenues detail  24'!$O$1,1000060544412))+(SUMIFS('Revenues detail  24'!$H$1:$H$149,'Revenues detail  24'!$O$149:'Revenues detail  24'!$O$1,1000060544447))+(SUMIFS('Revenues detail  24'!$H$1:$H$149,'Revenues detail  24'!$O$149:'Revenues detail  24'!$O$1,100000044498)))),0)</f>
        <v>0</v>
      </c>
      <c r="D71" s="9"/>
      <c r="E71" s="9">
        <f t="shared" si="6"/>
        <v>0</v>
      </c>
      <c r="F71" s="9"/>
      <c r="G71" s="9">
        <f>ROUND(-(SUMIFS('Revenues detail  24'!$H$1:$H$149,'Revenues detail  24'!$O$149:'Revenues detail  24'!$O$1,1000060044400)+(SUMIFS('Revenues detail  24'!$H$1:$H$149,'Revenues detail  24'!$O$149:'Revenues detail  24'!$O$1,1000000144449))+(SUMIFS('Revenues detail  24'!$H$1:$H$149,'Revenues detail  24'!$O$149:'Revenues detail  24'!$O$1,1000060044410))+(SUMIFS('Revenues detail  24'!$H$1:$H$149,'Revenues detail  24'!$O$149:'Revenues detail  24'!$O$1,1000060044420))+(SUMIFS('Revenues detail  24'!$H$1:$H$149,'Revenues detail  24'!$O$149:'Revenues detail  24'!$O$1,1000060044430))+(SUMIFS('Revenues detail  24'!$H$1:$H$149,'Revenues detail  24'!$O$149:'Revenues detail  24'!$O$1,1000060444431))+(SUMIFS('Revenues detail  24'!$H$1:$H$149,'Revenues detail  24'!$O$149:'Revenues detail  24'!$O$1,1000060044432))+(SUMIFS('Revenues detail  24'!$H$1:$H$149,'Revenues detail  24'!$O$149:'Revenues detail  24'!$O$1,1000060044440))+(SUMIFS('Revenues detail  24'!$H$1:$H$149,'Revenues detail  24'!$O$149:'Revenues detail  24'!$O$1,1000060044449))+(SUMIFS('Revenues detail  24'!$H$1:$H$149,'Revenues detail  24'!$O$149:'Revenues detail  24'!$O$1,1000060044450))+(SUMIFS('Revenues detail  24'!$H$1:$H$149,'Revenues detail  24'!$O$149:'Revenues detail  24'!$O$1,1000060044499))+(SUMIFS('Revenues detail  24'!$H$1:$H$149,'Revenues detail  24'!$O$149:'Revenues detail  24'!$O$1,1000060244450))+(SUMIFS('Revenues detail  24'!$H$1:$H$149,'Revenues detail  24'!$O$149:'Revenues detail  24'!$O$1,1000060244451))+(SUMIFS('Revenues detail  24'!$H$1:$H$149,'Revenues detail  24'!$O$149:'Revenues detail  24'!$O$1,1000060244452)+(SUMIFS('Revenues detail  24'!$H$1:$H$149,'Revenues detail  24'!$O$149:'Revenues detail  24'!$O$1,1000060444400))+(SUMIFS('Revenues detail  24'!$H$1:$H$149,'Revenues detail  24'!$O$149:'Revenues detail  24'!$O$1,1000060444404))+(SUMIFS('Revenues detail  24'!$H$1:$H$149,'Revenues detail  24'!$O$149:'Revenues detail  24'!$O$1,1000060444405))+(SUMIFS('Revenues detail  24'!$H$1:$H$149,'Revenues detail  24'!$O$149:'Revenues detail  24'!$O$1,1000060444406))+(SUMIFS('Revenues detail  24'!$H$1:$H$149,'Revenues detail  24'!$O$149:'Revenues detail  24'!$O$1,1000060444408))+(SUMIFS('Revenues detail  24'!$H$1:$H$149,'Revenues detail  24'!$O$149:'Revenues detail  24'!$O$1,1000060444410))+(SUMIFS('Revenues detail  24'!$H$1:$H$149,'Revenues detail  24'!$O$149:'Revenues detail  24'!$O$1,1000060444414))+(SUMIFS('Revenues detail  24'!$H$1:$H$149,'Revenues detail  24'!$O$149:'Revenues detail  24'!$O$1,1000060444420))+(SUMIFS('Revenues detail  24'!$H$1:$H$149,'Revenues detail  24'!$O$149:'Revenues detail  24'!$O$1,1000060444430))+(SUMIFS('Revenues detail  24'!$H$1:$H$149,'Revenues detail  24'!$O$149:'Revenues detail  24'!$O$1,1000060444432))+(SUMIFS('Revenues detail  24'!$H$1:$H$149,'Revenues detail  24'!$O$149:'Revenues detail  24'!$O$1,1000060444440))+(SUMIFS('Revenues detail  24'!$H$1:$H$149,'Revenues detail  24'!$O$149:'Revenues detail  24'!$O$1,1000060444442))+(SUMIFS('Revenues detail  24'!$H$1:$H$149,'Revenues detail  24'!$O$149:'Revenues detail  24'!$O$1,1000060444449))+(SUMIFS('Revenues detail  24'!$H$1:$H$149,'Revenues detail  24'!$O$149:'Revenues detail  24'!$O$1,1000060444450))+(SUMIFS('Revenues detail  24'!$H$1:$H$149,'Revenues detail  24'!$O$149:'Revenues detail  24'!$O$1,1000060444499))+(SUMIFS('Revenues detail  24'!$H$1:$H$149,'Revenues detail  24'!$O$149:'Revenues detail  24'!$O$1,1000060544412))+(SUMIFS('Revenues detail  24'!$H$1:$H$149,'Revenues detail  24'!$O$149:'Revenues detail  24'!$O$1,1000060544447))+(SUMIFS('Revenues detail  24'!$H$1:$H$149,'Revenues detail  24'!$O$149:'Revenues detail  24'!$O$1,100000044498)))),0)</f>
        <v>0</v>
      </c>
      <c r="H71" s="9"/>
      <c r="I71" s="9">
        <f>ROUND(-(SUMIFS('Revenues detail  24'!$P$1:$P$149,'Revenues detail  24'!$O$149:'Revenues detail  24'!$O$1,1000000144427)+SUMIFS('Revenues detail  24'!$P$1:$P$149,'Revenues detail  24'!$O$149:'Revenues detail  24'!$O$1,1000000144449)+SUMIFS('Revenues detail  24'!$P$1:$P$149,'Revenues detail  24'!$O$149:'Revenues detail  24'!$O$1,1000000144498)+SUMIFS('Revenues detail  24'!$P$1:$P$149,'Revenues detail  24'!$O$149:'Revenues detail  24'!$O$1,1000060044400)+SUMIFS('Revenues detail  24'!$P$1:$P$149,'Revenues detail  24'!$O$149:'Revenues detail  24'!$O$1,1000060444431)+SUMIFS('Revenues detail  24'!$P$1:$P$149,'Revenues detail  24'!$O$149:'Revenues detail  24'!$O$1,1000060044410)+SUMIFS('Revenues detail  24'!$P$1:$P$149,'Revenues detail  24'!$O$149:'Revenues detail  24'!$O$1,1000060044420)+SUMIFS('Revenues detail  24'!$P$1:$P$149,'Revenues detail  24'!$O$149:'Revenues detail  24'!$O$1,1000060044430)+SUMIFS('Revenues detail  24'!$P$1:$P$149,'Revenues detail  24'!$O$149:'Revenues detail  24'!$O$1,1000060044432)+SUMIFS('Revenues detail  24'!$P$1:$P$149,'Revenues detail  24'!$O$149:'Revenues detail  24'!$O$1,1000060044440)+SUMIFS('Revenues detail  24'!$P$1:$P$149,'Revenues detail  24'!$O$149:'Revenues detail  24'!$O$1,1000060044449)+SUMIFS('Revenues detail  24'!$P$1:$P$149,'Revenues detail  24'!$O$149:'Revenues detail  24'!$O$1,1000060044450)+SUMIFS('Revenues detail  24'!$P$1:$P$149,'Revenues detail  24'!$O$149:'Revenues detail  24'!$O$1,1000060044499)+SUMIFS('Revenues detail  24'!$P$1:$P$149,'Revenues detail  24'!$O$149:'Revenues detail  24'!$O$1,1000060244427)+SUMIFS('Revenues detail  24'!$P$1:$P$149,'Revenues detail  24'!$O$149:'Revenues detail  24'!$O$1,1000060244450)+SUMIFS('Revenues detail  24'!$P$1:$P$149,'Revenues detail  24'!$O$149:'Revenues detail  24'!$O$1,1000060244451)+SUMIFS('Revenues detail  24'!$P$1:$P$149,'Revenues detail  24'!$O$149:'Revenues detail  24'!$O$1,1000060244452)+SUMIFS('Revenues detail  24'!$P$1:$P$149,'Revenues detail  24'!$O$149:'Revenues detail  24'!$O$1,1000060444400)+SUMIFS('Revenues detail  24'!$P$1:$P$149,'Revenues detail  24'!$O$149:'Revenues detail  24'!$O$1,1000060444404)+SUMIFS('Revenues detail  24'!$P$1:$P$149,'Revenues detail  24'!$O$149:'Revenues detail  24'!$O$1,1000060444405)+SUMIFS('Revenues detail  24'!$P$1:$P$149,'Revenues detail  24'!$O$149:'Revenues detail  24'!$O$1,1000060444406)+SUMIFS('Revenues detail  24'!$P$1:$P$149,'Revenues detail  24'!$O$149:'Revenues detail  24'!$O$1,1000060444408)+SUMIFS('Revenues detail  24'!$P$1:$P$149,'Revenues detail  24'!$O$149:'Revenues detail  24'!$O$1,1000060444410)+SUMIFS('Revenues detail  24'!$P$1:$P$149,'Revenues detail  24'!$O$149:'Revenues detail  24'!$O$1,1000060444411)+SUMIFS('Revenues detail  24'!$P$1:$P$149,'Revenues detail  24'!$O$149:'Revenues detail  24'!$O$1,1000060444414)+SUMIFS('Revenues detail  24'!$P$1:$P$149,'Revenues detail  24'!$O$149:'Revenues detail  24'!$O$1,1000060444415)+SUMIFS('Revenues detail  24'!$P$1:$P$149,'Revenues detail  24'!$O$149:'Revenues detail  24'!$O$1,1000060444418)+SUMIFS('Revenues detail  24'!$P$1:$P$149,'Revenues detail  24'!$O$149:'Revenues detail  24'!$O$1,1000060444420)+SUMIFS('Revenues detail  24'!$P$1:$P$149,'Revenues detail  24'!$O$149:'Revenues detail  24'!$O$1,1000060444430)+SUMIFS('Revenues detail  24'!$P$1:$P$149,'Revenues detail  24'!$O$149:'Revenues detail  24'!$O$1,1000060444431)+SUMIFS('Revenues detail  24'!$P$1:$P$149,'Revenues detail  24'!$O$149:'Revenues detail  24'!$O$1,1000060444432)+SUMIFS('Revenues detail  24'!$P$1:$P$149,'Revenues detail  24'!$O$149:'Revenues detail  24'!$O$1,1000060444440)+SUMIFS('Revenues detail  24'!$P$1:$P$149,'Revenues detail  24'!$O$149:'Revenues detail  24'!$O$1,1000060444442)+SUMIFS('Revenues detail  24'!$P$1:$P$149,'Revenues detail  24'!$O$149:'Revenues detail  24'!$O$1,1000060444449)+SUMIFS('Revenues detail  24'!$P$1:$P$149,'Revenues detail  24'!$O$149:'Revenues detail  24'!$O$1,1000060444450)+SUMIFS('Revenues detail  24'!$P$1:$P$149,'Revenues detail  24'!$O$149:'Revenues detail  24'!$O$1,1000060444499)+SUMIFS('Revenues detail  24'!$P$1:$P$149,'Revenues detail  24'!$O$149:'Revenues detail  24'!$O$1,1000060544412)+SUMIFS('Revenues detail  24'!$P$1:$P$149,'Revenues detail  24'!$O$149:'Revenues detail  24'!$O$1,1000060544447)+SUMIFS('Revenues detail  24'!$P$1:$P$149,'Revenues detail  24'!$O$149:'Revenues detail  24'!$O$1,1000160044450)),0)</f>
        <v>0</v>
      </c>
      <c r="J71" s="9"/>
      <c r="K71" s="9">
        <f t="shared" si="8"/>
        <v>0</v>
      </c>
      <c r="N71" s="3"/>
      <c r="O71" s="3"/>
    </row>
    <row r="72" spans="1:16" x14ac:dyDescent="0.25">
      <c r="B72" t="s">
        <v>475</v>
      </c>
      <c r="C72" s="9">
        <f>ROUND(-(SUMIFS('Revenues detail  24'!$G$1:$G$155,'Revenues detail  24'!$B$155:'Revenues detail  24'!$B$1,10001243)+SUMIFS('Revenues detail  24'!$G$1:$G$155,'Revenues detail  24'!$B$155:'Revenues detail  24'!$B$1,10001301)+SUMIFS('Revenues detail  24'!$G$1:$G$155,'Revenues detail  24'!$B$155:'Revenues detail  24'!$B$1,10001330)),0)</f>
        <v>0</v>
      </c>
      <c r="D72" s="9"/>
      <c r="E72" s="9">
        <f t="shared" si="6"/>
        <v>0</v>
      </c>
      <c r="F72" s="9"/>
      <c r="G72" s="9">
        <f>ROUND(-(SUMIFS('Revenues detail  24'!$H$1:$H$155,'Revenues detail  24'!$B$155:'Revenues detail  24'!$B$1,10001243)+SUMIFS('Revenues detail  24'!$H$1:$H$155,'Revenues detail  24'!$B$155:'Revenues detail  24'!$B$1,10001301)+SUMIFS('Revenues detail  24'!$H$1:$H$155,'Revenues detail  24'!$B$155:'Revenues detail  24'!$B$1,10001330)),0)</f>
        <v>0</v>
      </c>
      <c r="H72" s="9"/>
      <c r="I72" s="9">
        <f>ROUND(-(SUMIFS('Revenues detail  24'!$P$1:$P$155,'Revenues detail  24'!$B$155:'Revenues detail  24'!$B$1,10001243)+SUMIFS('Revenues detail  24'!$P$1:$P$155,'Revenues detail  24'!$B$155:'Revenues detail  24'!$B$1,10001301)+SUMIFS('Revenues detail  24'!$P$1:$P$155,'Revenues detail  24'!$B$155:'Revenues detail  24'!$B$1,10001330)),0)</f>
        <v>0</v>
      </c>
      <c r="J72" s="9"/>
      <c r="K72" s="9">
        <f t="shared" si="8"/>
        <v>0</v>
      </c>
      <c r="N72" s="3"/>
      <c r="O72" s="3"/>
    </row>
    <row r="73" spans="1:16" x14ac:dyDescent="0.25">
      <c r="B73" s="22" t="s">
        <v>448</v>
      </c>
      <c r="C73" s="11">
        <f>SUM(C50:C72)</f>
        <v>14127513</v>
      </c>
      <c r="D73" s="9"/>
      <c r="E73" s="11">
        <f>SUM(E50:E72)</f>
        <v>0</v>
      </c>
      <c r="F73" s="9"/>
      <c r="G73" s="11">
        <f>SUM(G50:G72)</f>
        <v>14127513</v>
      </c>
      <c r="H73" s="9"/>
      <c r="I73" s="11">
        <f>SUM(I50:I72)</f>
        <v>14217131</v>
      </c>
      <c r="J73" s="9"/>
      <c r="K73" s="11">
        <f>SUM(K50:K72)</f>
        <v>89618</v>
      </c>
      <c r="N73" s="3"/>
      <c r="O73" s="3"/>
      <c r="P73" s="21"/>
    </row>
    <row r="74" spans="1:16" x14ac:dyDescent="0.25">
      <c r="C74" s="9"/>
      <c r="D74" s="9"/>
      <c r="E74" s="9"/>
      <c r="F74" s="9"/>
      <c r="G74" s="9"/>
      <c r="H74" s="9"/>
      <c r="I74" s="9"/>
      <c r="J74" s="9"/>
      <c r="K74" s="9"/>
    </row>
    <row r="75" spans="1:16" x14ac:dyDescent="0.25">
      <c r="C75" s="9"/>
      <c r="D75" s="9"/>
      <c r="E75" s="9"/>
      <c r="F75" s="9"/>
      <c r="G75" s="9"/>
      <c r="H75" s="9"/>
      <c r="I75" s="9"/>
      <c r="J75" s="9"/>
      <c r="K75" s="9"/>
    </row>
    <row r="76" spans="1:16" x14ac:dyDescent="0.25">
      <c r="A76" t="s">
        <v>399</v>
      </c>
      <c r="C76" s="9"/>
      <c r="D76" s="9"/>
      <c r="E76" s="9"/>
      <c r="F76" s="9"/>
      <c r="G76" s="9"/>
      <c r="H76" s="9"/>
      <c r="I76" s="9"/>
      <c r="J76" s="9"/>
      <c r="K76" s="9"/>
    </row>
    <row r="77" spans="1:16" x14ac:dyDescent="0.25">
      <c r="B77" t="s">
        <v>400</v>
      </c>
      <c r="C77" s="9">
        <f>ROUND(-(SUMIFS('Revenues detail  24'!$G$1:$G$149,'Revenues detail  24'!$O$149:'Revenues detail  24'!$O$1,1000000145010)+SUMIFS('Revenues detail  24'!$G$1:$G$149,'Revenues detail  24'!$O$149:'Revenues detail  24'!$O$1,1000000145020)),0)</f>
        <v>11918</v>
      </c>
      <c r="D77" s="9"/>
      <c r="E77" s="9">
        <f t="shared" ref="E77:E83" si="9">+G77-C77</f>
        <v>0</v>
      </c>
      <c r="F77" s="9"/>
      <c r="G77" s="9">
        <f>ROUND(-(SUMIFS('Revenues detail  24'!$H$1:$H$149,'Revenues detail  24'!$O$149:'Revenues detail  24'!$O$1,1000000145010)+SUMIFS('Revenues detail  24'!$H$1:$H$149,'Revenues detail  24'!$O$149:'Revenues detail  24'!$O$1,1000000145020)),0)</f>
        <v>11918</v>
      </c>
      <c r="H77" s="9"/>
      <c r="I77" s="9">
        <f>ROUND(-(SUMIFS('Revenues detail  24'!$P$1:$P$149,'Revenues detail  24'!$O$149:'Revenues detail  24'!$O$1,1000000145010)+SUMIFS('Revenues detail  24'!$P$1:$P$149,'Revenues detail  24'!$O$149:'Revenues detail  24'!$O$1,1000000145020)),0)</f>
        <v>17168</v>
      </c>
      <c r="J77" s="9"/>
      <c r="K77" s="9">
        <f t="shared" ref="K77:K83" si="10">+I77-G77</f>
        <v>5250</v>
      </c>
    </row>
    <row r="78" spans="1:16" x14ac:dyDescent="0.25">
      <c r="B78" s="2" t="s">
        <v>543</v>
      </c>
      <c r="C78" s="9">
        <f>ROUND(-(SUMIFS('Revenues detail  24'!$G$1:$G$149,'Revenues detail  24'!$O$149:'Revenues detail  24'!$O$1,1000000145030)),0)</f>
        <v>3000</v>
      </c>
      <c r="D78" s="9"/>
      <c r="E78" s="9">
        <f t="shared" si="9"/>
        <v>0</v>
      </c>
      <c r="F78" s="9"/>
      <c r="G78" s="9">
        <f>ROUND(-(SUMIFS('Revenues detail  24'!$H$1:$H$149,'Revenues detail  24'!$O$149:'Revenues detail  24'!$O$1,1000000145030)),0)</f>
        <v>3000</v>
      </c>
      <c r="H78" s="9"/>
      <c r="I78" s="9">
        <f>ROUND(-(SUMIFS('Revenues detail  24'!$P$1:$P$149,'Revenues detail  24'!$O$149:'Revenues detail  24'!$O$1,1000000145030)),0)</f>
        <v>0</v>
      </c>
      <c r="J78" s="9"/>
      <c r="K78" s="9">
        <f t="shared" si="10"/>
        <v>-3000</v>
      </c>
    </row>
    <row r="79" spans="1:16" x14ac:dyDescent="0.25">
      <c r="B79" t="s">
        <v>401</v>
      </c>
      <c r="C79" s="9">
        <f>ROUND(-(SUMIFS('Revenues detail  24'!$G$1:$G$149,'Revenues detail  24'!$O$149:'Revenues detail  24'!$O$1,1000000145100)+SUMIFS('Revenues detail  24'!$G$1:$G$149,'Revenues detail  24'!$O$149:'Revenues detail  24'!$O$1,"100000014510A")+SUMIFS('Revenues detail  24'!$G$1:$G$149,'Revenues detail  24'!$O$149:'Revenues detail  24'!$O$1,"100000014510B")+SUMIFS('Revenues detail  24'!$G$1:$G$149,'Revenues detail  24'!$O$149:'Revenues detail  24'!$O$1,"100000014501C")+SUMIFS('Revenues detail  24'!$G$1:$G$149,'Revenues detail  24'!$O$149:'Revenues detail  24'!$O$1,"100000014510D")),0)</f>
        <v>546600</v>
      </c>
      <c r="D79" s="9"/>
      <c r="E79" s="9">
        <f t="shared" si="9"/>
        <v>0</v>
      </c>
      <c r="F79" s="9"/>
      <c r="G79" s="9">
        <f>ROUND(-(SUMIFS('Revenues detail  24'!$H$1:$H$149,'Revenues detail  24'!$O$149:'Revenues detail  24'!$O$1,1000000145100)+SUMIFS('Revenues detail  24'!$H$1:$H$149,'Revenues detail  24'!$O$149:'Revenues detail  24'!$O$1,"100000014510A")+SUMIFS('Revenues detail  24'!$H$1:$H$149,'Revenues detail  24'!$O$149:'Revenues detail  24'!$O$1,"100000014510B")+SUMIFS('Revenues detail  24'!$H$1:$H$149,'Revenues detail  24'!$O$149:'Revenues detail  24'!$O$1,"100000014501C")+SUMIFS('Revenues detail  24'!$H$1:$H$149,'Revenues detail  24'!$O$149:'Revenues detail  24'!$O$1,"100000014510D")),0)</f>
        <v>546600</v>
      </c>
      <c r="H79" s="9"/>
      <c r="I79" s="9">
        <f>ROUND(-(SUMIFS('Revenues detail  24'!$P$1:$P$149,'Revenues detail  24'!$O$149:'Revenues detail  24'!$O$1,1000000145100)+SUMIFS('Revenues detail  24'!$P$1:$P$149,'Revenues detail  24'!$O$149:'Revenues detail  24'!$O$1,"100000014510A")+SUMIFS('Revenues detail  24'!$P$1:$P$149,'Revenues detail  24'!$O$149:'Revenues detail  24'!$O$1,"100000014510B")+SUMIFS('Revenues detail  24'!$P$1:$P$149,'Revenues detail  24'!$O$149:'Revenues detail  24'!$O$1,"100000014501C")+SUMIFS('Revenues detail  24'!$P$1:$P$149,'Revenues detail  24'!$O$149:'Revenues detail  24'!$O$1,"100000014510D")),0)</f>
        <v>535469</v>
      </c>
      <c r="J79" s="9"/>
      <c r="K79" s="9">
        <f t="shared" si="10"/>
        <v>-11131</v>
      </c>
    </row>
    <row r="80" spans="1:16" x14ac:dyDescent="0.25">
      <c r="B80" t="s">
        <v>402</v>
      </c>
      <c r="C80" s="9">
        <f>ROUND(-(SUMIFS('Revenues detail  24'!$G$1:$G$149,'Revenues detail  24'!$O$149:'Revenues detail  24'!$O$1,1000000145150)),0)</f>
        <v>15000</v>
      </c>
      <c r="D80" s="9"/>
      <c r="E80" s="9">
        <f t="shared" si="9"/>
        <v>0</v>
      </c>
      <c r="F80" s="9"/>
      <c r="G80" s="9">
        <f>ROUND(-(SUMIFS('Revenues detail  24'!$H$1:$H$149,'Revenues detail  24'!$O$149:'Revenues detail  24'!$O$1,1000000145150)),0)</f>
        <v>15000</v>
      </c>
      <c r="H80" s="9"/>
      <c r="I80" s="9">
        <f>ROUND(-(SUMIFS('Revenues detail  24'!$P$1:$P$149,'Revenues detail  24'!$O$149:'Revenues detail  24'!$O$1,1000000145150)),0)</f>
        <v>0</v>
      </c>
      <c r="J80" s="9"/>
      <c r="K80" s="9">
        <f t="shared" si="10"/>
        <v>-15000</v>
      </c>
    </row>
    <row r="81" spans="1:15" x14ac:dyDescent="0.25">
      <c r="B81" t="s">
        <v>403</v>
      </c>
      <c r="C81" s="9">
        <f>ROUND(-(SUMIFS('Revenues detail  24'!$G$1:$G$149,'Revenues detail  24'!$O$149:'Revenues detail  24'!$O$1,1000000145200)),0)</f>
        <v>42500</v>
      </c>
      <c r="D81" s="9"/>
      <c r="E81" s="9">
        <f t="shared" si="9"/>
        <v>0</v>
      </c>
      <c r="F81" s="9"/>
      <c r="G81" s="9">
        <f>ROUND(-(SUMIFS('Revenues detail  24'!$H$1:$H$149,'Revenues detail  24'!$O$149:'Revenues detail  24'!$O$1,1000000145200)),0)</f>
        <v>42500</v>
      </c>
      <c r="H81" s="9"/>
      <c r="I81" s="9">
        <f>ROUND(-(SUMIFS('Revenues detail  24'!$P$1:$P$149,'Revenues detail  24'!$O$149:'Revenues detail  24'!$O$1,1000000145200)),0)</f>
        <v>47621</v>
      </c>
      <c r="J81" s="9"/>
      <c r="K81" s="9">
        <f t="shared" si="10"/>
        <v>5121</v>
      </c>
    </row>
    <row r="82" spans="1:15" x14ac:dyDescent="0.25">
      <c r="B82" t="s">
        <v>404</v>
      </c>
      <c r="C82" s="9">
        <f>ROUND(-(SUMIFS('Revenues detail  24'!$G$1:$G$149,'Revenues detail  24'!$O$149:'Revenues detail  24'!$O$1,1000000145400)),0)</f>
        <v>1000</v>
      </c>
      <c r="D82" s="9"/>
      <c r="E82" s="9">
        <f t="shared" si="9"/>
        <v>0</v>
      </c>
      <c r="F82" s="9"/>
      <c r="G82" s="9">
        <f>ROUND(-(SUMIFS('Revenues detail  24'!$H$1:$H$149,'Revenues detail  24'!$O$149:'Revenues detail  24'!$O$1,1000000145400)),0)</f>
        <v>1000</v>
      </c>
      <c r="H82" s="9"/>
      <c r="I82" s="9">
        <f>ROUND(-(SUMIFS('Revenues detail  24'!$P$1:$P$149,'Revenues detail  24'!$O$149:'Revenues detail  24'!$O$1,1000000145400)),0)</f>
        <v>0</v>
      </c>
      <c r="J82" s="9"/>
      <c r="K82" s="9">
        <f t="shared" si="10"/>
        <v>-1000</v>
      </c>
    </row>
    <row r="83" spans="1:15" x14ac:dyDescent="0.25">
      <c r="B83" t="s">
        <v>405</v>
      </c>
      <c r="C83" s="9">
        <f>ROUND(-(SUMIFS('Revenues detail  24'!$G$1:$G$149,'Revenues detail  24'!$O$149:'Revenues detail  24'!$O$1,1000000145600)),0)</f>
        <v>150000</v>
      </c>
      <c r="D83" s="9"/>
      <c r="E83" s="9">
        <f t="shared" si="9"/>
        <v>0</v>
      </c>
      <c r="F83" s="9"/>
      <c r="G83" s="9">
        <f>ROUND(-(SUMIFS('Revenues detail  24'!$H$1:$H$149,'Revenues detail  24'!$O$149:'Revenues detail  24'!$O$1,1000000145600)),0)</f>
        <v>150000</v>
      </c>
      <c r="H83" s="9"/>
      <c r="I83" s="9">
        <f>ROUND(-(SUMIFS('Revenues detail  24'!$P$1:$P$149,'Revenues detail  24'!$O$149:'Revenues detail  24'!$O$1,1000000145600)),0)</f>
        <v>102475</v>
      </c>
      <c r="J83" s="9"/>
      <c r="K83" s="9">
        <f t="shared" si="10"/>
        <v>-47525</v>
      </c>
    </row>
    <row r="84" spans="1:15" x14ac:dyDescent="0.25">
      <c r="B84" s="22" t="s">
        <v>449</v>
      </c>
      <c r="C84" s="11">
        <f>SUM(C77:C83)</f>
        <v>770018</v>
      </c>
      <c r="D84" s="9"/>
      <c r="E84" s="11">
        <f>SUM(E77:E83)</f>
        <v>0</v>
      </c>
      <c r="F84" s="9"/>
      <c r="G84" s="11">
        <f>SUM(G77:G83)</f>
        <v>770018</v>
      </c>
      <c r="H84" s="9"/>
      <c r="I84" s="11">
        <f>SUM(I77:I83)</f>
        <v>702733</v>
      </c>
      <c r="J84" s="9"/>
      <c r="K84" s="11">
        <f>SUM(K77:K83)</f>
        <v>-67285</v>
      </c>
      <c r="N84" s="7">
        <f>+G84/$G$102</f>
        <v>4.4203230566381988E-3</v>
      </c>
      <c r="O84" s="7">
        <f>+I84/G84</f>
        <v>0.91261892579134518</v>
      </c>
    </row>
    <row r="85" spans="1:15" x14ac:dyDescent="0.25">
      <c r="C85" s="9"/>
      <c r="D85" s="9"/>
      <c r="E85" s="9"/>
      <c r="F85" s="9"/>
      <c r="G85" s="9"/>
      <c r="H85" s="9"/>
      <c r="I85" s="9"/>
      <c r="J85" s="9"/>
      <c r="K85" s="9"/>
    </row>
    <row r="86" spans="1:15" x14ac:dyDescent="0.25">
      <c r="A86" t="s">
        <v>406</v>
      </c>
      <c r="C86" s="12">
        <f>ROUND(-(SUMIFS('Revenues detail  24'!$G$1:$G$149,'Revenues detail  24'!$O$149:'Revenues detail  24'!$O$1,1000000146010)+SUMIFS('Revenues detail  24'!$G$1:$G$149,'Revenues detail  24'!$O$149:'Revenues detail  24'!$O$1,1000000146020)+SUMIFS('Revenues detail  24'!$G$1:$G$149,'Revenues detail  24'!$O$149:'Revenues detail  24'!$O$1,1000000146100)+SUMIFS('Revenues detail  24'!$G$1:$G$149,'Revenues detail  24'!$O$149:'Revenues detail  24'!$O$1,1000000146150)+SUMIFS('Revenues detail  24'!$G$1:$G$149,'Revenues detail  24'!$O$149:'Revenues detail  24'!$O$1,1000000146200)+SUMIFS('Revenues detail  24'!$G$1:$G$149,'Revenues detail  24'!$O$149:'Revenues detail  24'!$O$1,1000000146300)+SUMIFS('Revenues detail  24'!$G$1:$G$149,'Revenues detail  24'!$O$149:'Revenues detail  24'!$O$1,1010000146010)+SUMIFS('Revenues detail  24'!$G$1:$G$149,'Revenues detail  24'!$O$149:'Revenues detail  24'!$O$1,1040000146010)+SUMIFS('Revenues detail  24'!$G$1:$G$149,'Revenues detail  24'!$O$149:'Revenues detail  24'!$O$1,1401000146010)+SUMIFS('Revenues detail  24'!$G$1:$G$149,'Revenues detail  24'!$O$149:'Revenues detail  24'!$O$1,14020000146010)+SUMIFS('Revenues detail  24'!$G$1:$G$149,'Revenues detail  24'!$O$149:'Revenues detail  24'!$O$1,1600000146010)),0)</f>
        <v>156000</v>
      </c>
      <c r="D86" s="9"/>
      <c r="E86" s="12">
        <f t="shared" ref="E86" si="11">+G86-C86</f>
        <v>0</v>
      </c>
      <c r="F86" s="9"/>
      <c r="G86" s="12">
        <f>ROUND(-(SUMIFS('Revenues detail  24'!$H$1:$H$149,'Revenues detail  24'!$O$149:'Revenues detail  24'!$O$1,1000000146010)+SUMIFS('Revenues detail  24'!$H$1:$H$149,'Revenues detail  24'!$O$149:'Revenues detail  24'!$O$1,1000000146020)+SUMIFS('Revenues detail  24'!$H$1:$H$149,'Revenues detail  24'!$O$149:'Revenues detail  24'!$O$1,1000000146100)+SUMIFS('Revenues detail  24'!$H$1:$H$149,'Revenues detail  24'!$O$149:'Revenues detail  24'!$O$1,1000000146150)+SUMIFS('Revenues detail  24'!$H$1:$H$149,'Revenues detail  24'!$O$149:'Revenues detail  24'!$O$1,1000000146200)+SUMIFS('Revenues detail  24'!$H$1:$H$149,'Revenues detail  24'!$O$149:'Revenues detail  24'!$O$1,1000000146300)+SUMIFS('Revenues detail  24'!$H$1:$H$149,'Revenues detail  24'!$O$149:'Revenues detail  24'!$O$1,1010000146010)+SUMIFS('Revenues detail  24'!$H$1:$H$149,'Revenues detail  24'!$O$149:'Revenues detail  24'!$O$1,1040000146010)+SUMIFS('Revenues detail  24'!$H$1:$H$149,'Revenues detail  24'!$O$149:'Revenues detail  24'!$O$1,1401000146010)+SUMIFS('Revenues detail  24'!$H$1:$H$149,'Revenues detail  24'!$O$149:'Revenues detail  24'!$O$1,14020000146010)+SUMIFS('Revenues detail  24'!$H$1:$H$149,'Revenues detail  24'!$O$149:'Revenues detail  24'!$O$1,1600000146010)),0)</f>
        <v>156000</v>
      </c>
      <c r="H86" s="9"/>
      <c r="I86" s="12">
        <f>ROUND(-(SUMIFS('Revenues detail  24'!$P$1:$P$149,'Revenues detail  24'!$O$149:'Revenues detail  24'!$O$1,1000000146010)+SUMIFS('Revenues detail  24'!$P$1:$P$149,'Revenues detail  24'!$O$149:'Revenues detail  24'!$O$1,1000000146020)+SUMIFS('Revenues detail  24'!$P$1:$P$149,'Revenues detail  24'!$O$149:'Revenues detail  24'!$O$1,1000000146100)+SUMIFS('Revenues detail  24'!$P$1:$P$149,'Revenues detail  24'!$O$149:'Revenues detail  24'!$O$1,1000000146150)+SUMIFS('Revenues detail  24'!$P$1:$P$149,'Revenues detail  24'!$O$149:'Revenues detail  24'!$O$1,1000000146200)+SUMIFS('Revenues detail  24'!$P$1:$P$149,'Revenues detail  24'!$O$149:'Revenues detail  24'!$O$1,1000000146300)+SUMIFS('Revenues detail  24'!$P$1:$P$149,'Revenues detail  24'!$O$149:'Revenues detail  24'!$O$1,1010000146010)+SUMIFS('Revenues detail  24'!$P$1:$P$149,'Revenues detail  24'!$O$149:'Revenues detail  24'!$O$1,1040000146010)+SUMIFS('Revenues detail  24'!$P$1:$P$149,'Revenues detail  24'!$O$149:'Revenues detail  24'!$O$1,1401000146010)+SUMIFS('Revenues detail  24'!$P$1:$P$149,'Revenues detail  24'!$O$149:'Revenues detail  24'!$O$1,14020000146010)+SUMIFS('Revenues detail  24'!$P$1:$P$149,'Revenues detail  24'!$O$149:'Revenues detail  24'!$O$1,1600000146010)),0)</f>
        <v>1164310</v>
      </c>
      <c r="J86" s="9"/>
      <c r="K86" s="12">
        <f>+I86-G86</f>
        <v>1008310</v>
      </c>
      <c r="N86" s="7">
        <f>+G86/$G$102</f>
        <v>8.9552503556482961E-4</v>
      </c>
      <c r="O86" s="7">
        <f>+I86/G86</f>
        <v>7.4635256410256412</v>
      </c>
    </row>
    <row r="87" spans="1:15" x14ac:dyDescent="0.25">
      <c r="C87" s="9"/>
      <c r="D87" s="9"/>
      <c r="E87" s="9"/>
      <c r="F87" s="9"/>
      <c r="G87" s="9"/>
      <c r="H87" s="9"/>
      <c r="I87" s="9"/>
      <c r="J87" s="9"/>
      <c r="K87" s="9"/>
    </row>
    <row r="88" spans="1:15" x14ac:dyDescent="0.25">
      <c r="A88" t="s">
        <v>407</v>
      </c>
      <c r="C88" s="9"/>
      <c r="D88" s="9"/>
      <c r="E88" s="9"/>
      <c r="F88" s="9"/>
      <c r="G88" s="9"/>
      <c r="H88" s="9"/>
      <c r="I88" s="9"/>
      <c r="J88" s="9"/>
      <c r="K88" s="9"/>
    </row>
    <row r="89" spans="1:15" x14ac:dyDescent="0.25">
      <c r="B89" t="s">
        <v>407</v>
      </c>
      <c r="C89" s="9">
        <f>ROUND(-(SUMIFS('Revenues detail  24'!$G$1:$G$149,'Revenues detail  24'!$O$149:'Revenues detail  24'!$O$1,1000000147010)+(SUMIFS('Revenues detail  24'!$G$1:$G$149,'Revenues detail  24'!$O$149:'Revenues detail  24'!$O$1,1000000147801)+(SUMIFS('Revenues detail  24'!$G$1:$G$149,'Revenues detail  24'!$O$149:'Revenues detail  24'!$O$1,1000000147012)+(SUMIFS('Revenues detail  24'!$G$1:$G$149,'Revenues detail  24'!$O$149:'Revenues detail  24'!$O$1,1000108147010)+(SUMIFS('Revenues detail  24'!$G$1:$G$149,'Revenues detail  24'!$O$149:'Revenues detail  24'!$O$1,1000000147800)))))),0)</f>
        <v>60000</v>
      </c>
      <c r="D89" s="9"/>
      <c r="E89" s="9">
        <f t="shared" ref="E89:E92" si="12">+G89-C89</f>
        <v>0</v>
      </c>
      <c r="F89" s="9"/>
      <c r="G89" s="9">
        <f>ROUND(-(SUMIFS('Revenues detail  24'!$H$1:$H$149,'Revenues detail  24'!$O$149:'Revenues detail  24'!$O$1,1000000147010)+(SUMIFS('Revenues detail  24'!$H$1:$H$149,'Revenues detail  24'!$O$149:'Revenues detail  24'!$O$1,1000000147801)+(SUMIFS('Revenues detail  24'!$H$1:$H$149,'Revenues detail  24'!$O$149:'Revenues detail  24'!$O$1,1000000147012)+(SUMIFS('Revenues detail  24'!$H$1:$H$149,'Revenues detail  24'!$O$149:'Revenues detail  24'!$O$1,1000108147010)+(SUMIFS('Revenues detail  24'!$H$1:$H$149,'Revenues detail  24'!$O$149:'Revenues detail  24'!$O$1,1000000147800)))))),0)</f>
        <v>60000</v>
      </c>
      <c r="H89" s="9"/>
      <c r="I89" s="9">
        <f>ROUND(-(SUMIFS('Revenues detail  24'!$P$1:$P$149,'Revenues detail  24'!$O$149:'Revenues detail  24'!$O$1,1000000147010)+(SUMIFS('Revenues detail  24'!$P$1:$P$149,'Revenues detail  24'!$O$149:'Revenues detail  24'!$O$1,1000000147801)+(SUMIFS('Revenues detail  24'!$P$1:$P$149,'Revenues detail  24'!$O$149:'Revenues detail  24'!$O$1,1000000147012)+(SUMIFS('Revenues detail  24'!$P$1:$P$149,'Revenues detail  24'!$O$149:'Revenues detail  24'!$O$1,1000000147410)+(SUMIFS('Revenues detail  24'!$P$1:$P$149,'Revenues detail  24'!$O$149:'Revenues detail  24'!$O$1,1000108147010)+(SUMIFS('Revenues detail  24'!$P$1:$P$149,'Revenues detail  24'!$O$149:'Revenues detail  24'!$O$1,1000000147800))))))),0)</f>
        <v>269557</v>
      </c>
      <c r="J89" s="9"/>
      <c r="K89" s="9">
        <f>+I89-G89</f>
        <v>209557</v>
      </c>
    </row>
    <row r="90" spans="1:15" x14ac:dyDescent="0.25">
      <c r="B90" t="s">
        <v>514</v>
      </c>
      <c r="C90" s="9">
        <f>ROUND(-(SUMIFS('Revenues detail  24'!$G$1:$G$149,'Revenues detail  24'!$O$149:'Revenues detail  24'!$O$1,1000000148910)),0)</f>
        <v>0</v>
      </c>
      <c r="D90" s="15"/>
      <c r="E90" s="9">
        <f t="shared" si="12"/>
        <v>31776863</v>
      </c>
      <c r="F90" s="15"/>
      <c r="G90" s="9">
        <f>ROUND(-(SUMIFS('Revenues detail  24'!$H$1:$H$149,'Revenues detail  24'!$O$149:'Revenues detail  24'!$O$1,1000000148910)),0)</f>
        <v>31776863</v>
      </c>
      <c r="H90" s="15"/>
      <c r="I90" s="9">
        <f>ROUND(-(SUMIFS('Revenues detail  24'!$P$1:$P$149,'Revenues detail  24'!$O$149:'Revenues detail  24'!$O$1,1000000148910)),0)</f>
        <v>0</v>
      </c>
      <c r="J90" s="15"/>
      <c r="K90" s="9">
        <f>+I90-G90</f>
        <v>-31776863</v>
      </c>
      <c r="L90" s="17"/>
      <c r="M90" s="18"/>
    </row>
    <row r="91" spans="1:15" x14ac:dyDescent="0.25">
      <c r="B91" t="s">
        <v>408</v>
      </c>
      <c r="C91" s="9">
        <f>ROUND(-(SUMIFS('Revenues detail  24'!$G$1:$G$149,'Revenues detail  24'!$O$149:'Revenues detail  24'!$O$1,1000000147210)+(SUMIFS('Revenues detail  24'!$G$1:$G$149,'Revenues detail  24'!$O$149:'Revenues detail  24'!$O$1,1000000147200)+(SUMIFS('Revenues detail  24'!$G$1:$G$149,'Revenues detail  24'!$O$149:'Revenues detail  24'!$O$1,1000060447200)+(SUMIFS('Revenues detail  24'!$G$1:$G$149,'Revenues detail  24'!$O$149:'Revenues detail  24'!$O$1,1000060547200))))),0)</f>
        <v>25000</v>
      </c>
      <c r="D91" s="9"/>
      <c r="E91" s="9">
        <f t="shared" si="12"/>
        <v>0</v>
      </c>
      <c r="F91" s="9"/>
      <c r="G91" s="9">
        <f>ROUND(-(SUMIFS('Revenues detail  24'!$H$1:$H$149,'Revenues detail  24'!$O$149:'Revenues detail  24'!$O$1,1000000147210)+(SUMIFS('Revenues detail  24'!$H$1:$H$149,'Revenues detail  24'!$O$149:'Revenues detail  24'!$O$1,1000000147200)+(SUMIFS('Revenues detail  24'!$H$1:$H$149,'Revenues detail  24'!$O$149:'Revenues detail  24'!$O$1,1000060447200)+(SUMIFS('Revenues detail  24'!$H$1:$H$149,'Revenues detail  24'!$O$149:'Revenues detail  24'!$O$1,1000060547200))))),0)</f>
        <v>25000</v>
      </c>
      <c r="H91" s="9"/>
      <c r="I91" s="9">
        <f>ROUND(-((SUMIFS('Revenues detail  24'!$P$1:$P$149,'Revenues detail  24'!$O$149:'Revenues detail  24'!$O$1,1000000147210)+(SUMIFS('Revenues detail  24'!$P$1:$P$149,'Revenues detail  24'!$O$149:'Revenues detail  24'!$O$1,1000000147200)))),0)</f>
        <v>38898</v>
      </c>
      <c r="J91" s="9"/>
      <c r="K91" s="9">
        <f>+I91-G91</f>
        <v>13898</v>
      </c>
    </row>
    <row r="92" spans="1:15" x14ac:dyDescent="0.25">
      <c r="B92" t="s">
        <v>409</v>
      </c>
      <c r="C92" s="9">
        <f>ROUND(-(SUMIFS('Revenues detail  24'!$G$1:$G$149,'Revenues detail  24'!$O$149:'Revenues detail  24'!$O$1,1000000147400)),0)</f>
        <v>250000</v>
      </c>
      <c r="D92" s="9"/>
      <c r="E92" s="9">
        <f t="shared" si="12"/>
        <v>0</v>
      </c>
      <c r="F92" s="9"/>
      <c r="G92" s="9">
        <f>ROUND(-(SUMIFS('Revenues detail  24'!$H$1:$H$149,'Revenues detail  24'!$O$149:'Revenues detail  24'!$O$1,1000000147400)),0)</f>
        <v>250000</v>
      </c>
      <c r="H92" s="9"/>
      <c r="I92" s="9">
        <f>ROUND(-(SUMIFS('Revenues detail  24'!$P$1:$P$149,'Revenues detail  24'!$O$149:'Revenues detail  24'!$O$1,1000000147400)),0)</f>
        <v>260677</v>
      </c>
      <c r="J92" s="9"/>
      <c r="K92" s="9">
        <f>+I92-G92</f>
        <v>10677</v>
      </c>
    </row>
    <row r="93" spans="1:15" x14ac:dyDescent="0.25">
      <c r="B93" t="s">
        <v>450</v>
      </c>
      <c r="C93" s="11">
        <f>SUM(C89:C92)</f>
        <v>335000</v>
      </c>
      <c r="D93" s="9"/>
      <c r="E93" s="11">
        <f>SUM(E89:E92)</f>
        <v>31776863</v>
      </c>
      <c r="F93" s="9"/>
      <c r="G93" s="11">
        <f>SUM(G89:G92)</f>
        <v>32111863</v>
      </c>
      <c r="H93" s="9"/>
      <c r="I93" s="11">
        <f>SUM(I89:I92)</f>
        <v>569132</v>
      </c>
      <c r="J93" s="9"/>
      <c r="K93" s="11">
        <f>SUM(K89:K92)</f>
        <v>-31542731</v>
      </c>
      <c r="N93" s="7">
        <f>+G93/$G$102</f>
        <v>0.18433959778928163</v>
      </c>
      <c r="O93" s="7">
        <f>+I93/G93</f>
        <v>1.7723418912194536E-2</v>
      </c>
    </row>
    <row r="94" spans="1:15" x14ac:dyDescent="0.25">
      <c r="C94" s="9"/>
      <c r="D94" s="9"/>
      <c r="E94" s="9"/>
      <c r="F94" s="9"/>
      <c r="G94" s="9"/>
      <c r="H94" s="9"/>
      <c r="I94" s="9"/>
      <c r="J94" s="9"/>
      <c r="K94" s="9"/>
    </row>
    <row r="95" spans="1:15" x14ac:dyDescent="0.25">
      <c r="A95" t="s">
        <v>410</v>
      </c>
      <c r="C95" s="15"/>
      <c r="D95" s="15"/>
      <c r="E95" s="15"/>
      <c r="F95" s="15"/>
      <c r="G95" s="15"/>
      <c r="H95" s="15"/>
      <c r="I95" s="15"/>
      <c r="J95" s="15"/>
      <c r="K95" s="15"/>
      <c r="L95" s="17"/>
      <c r="M95" s="18"/>
    </row>
    <row r="96" spans="1:15" x14ac:dyDescent="0.25">
      <c r="C96" s="15"/>
      <c r="D96" s="15"/>
      <c r="E96" s="15"/>
      <c r="F96" s="15"/>
      <c r="G96" s="15"/>
      <c r="H96" s="15"/>
      <c r="I96" s="15"/>
      <c r="J96" s="15"/>
      <c r="K96" s="15"/>
      <c r="L96" s="17"/>
      <c r="M96" s="18"/>
    </row>
    <row r="97" spans="2:15" x14ac:dyDescent="0.25">
      <c r="B97" t="s">
        <v>468</v>
      </c>
      <c r="C97" s="9">
        <f>ROUND(-(SUMIFS('Revenues detail  24'!$G$1:$G$149,'Revenues detail  24'!$O$149:'Revenues detail  24'!$O$1,1000000149200)+(SUMIFS('Revenues detail  24'!$G$1:$G$149,'Revenues detail  24'!$O$149:'Revenues detail  24'!$O$1,1000000149100))),0)</f>
        <v>433750</v>
      </c>
      <c r="D97" s="15"/>
      <c r="E97" s="9">
        <f t="shared" ref="E97:E99" si="13">+G97-C97</f>
        <v>868575</v>
      </c>
      <c r="F97" s="15"/>
      <c r="G97" s="9">
        <f>ROUND(-(SUMIFS('Revenues detail  24'!$H$1:$H$149,'Revenues detail  24'!$O$149:'Revenues detail  24'!$O$1,1000000149200)+(SUMIFS('Revenues detail  24'!$H$1:$H$149,'Revenues detail  24'!$O$149:'Revenues detail  24'!$O$1,1000000149100)+(SUMIFS('Revenues detail  24'!$H$1:$H$149,'Revenues detail  24'!$O$149:'Revenues detail  24'!$O$1,1010000149100)))),0)</f>
        <v>1302325</v>
      </c>
      <c r="H97" s="15"/>
      <c r="I97" s="9">
        <f>ROUND(-(SUMIFS('Revenues detail  24'!$P$1:$P$149,'Revenues detail  24'!$O$149:'Revenues detail  24'!$O$1,1000000149200)+(SUMIFS('Revenues detail  24'!$P$1:$P$149,'Revenues detail  24'!$O$149:'Revenues detail  24'!$O$1,1000000149100)+(SUMIFS('Revenues detail  24'!$P$1:$P$149,'Revenues detail  24'!$O$149:'Revenues detail  24'!$O$1,1010000149100)))),0)</f>
        <v>2265846</v>
      </c>
      <c r="J97" s="15"/>
      <c r="K97" s="9">
        <f>+I97-G97</f>
        <v>963521</v>
      </c>
      <c r="L97" s="17"/>
      <c r="M97" s="18"/>
    </row>
    <row r="98" spans="2:15" x14ac:dyDescent="0.25">
      <c r="B98" t="s">
        <v>411</v>
      </c>
      <c r="C98" s="9">
        <f>ROUND(-(SUMIFS('Revenues detail  24'!$G$1:$G$149,'Revenues detail  24'!$O$149:'Revenues detail  24'!$O$1,1000000149201)),0)</f>
        <v>112000</v>
      </c>
      <c r="D98" s="15"/>
      <c r="E98" s="9">
        <f t="shared" si="13"/>
        <v>0</v>
      </c>
      <c r="F98" s="15"/>
      <c r="G98" s="9">
        <f>ROUND(-(SUMIFS('Revenues detail  24'!$H$1:$H$149,'Revenues detail  24'!$O$149:'Revenues detail  24'!$O$1,1000000149201)),0)</f>
        <v>112000</v>
      </c>
      <c r="H98" s="15"/>
      <c r="I98" s="9">
        <f>ROUND(-(SUMIFS('Revenues detail  24'!$P$1:$P$149,'Revenues detail  24'!$O$149:'Revenues detail  24'!$O$1,1000000149201)),0)</f>
        <v>213438</v>
      </c>
      <c r="J98" s="15"/>
      <c r="K98" s="9">
        <f>+I98-G98</f>
        <v>101438</v>
      </c>
      <c r="L98" s="17"/>
      <c r="M98" s="18"/>
    </row>
    <row r="99" spans="2:15" x14ac:dyDescent="0.25">
      <c r="B99" t="s">
        <v>412</v>
      </c>
      <c r="C99" s="9">
        <f>ROUND(-(SUMIFS('Revenues detail  24'!$G$1:$G$149,'Revenues detail  24'!$O$149:'Revenues detail  24'!$O$1,1000000149217)),0)</f>
        <v>1708000</v>
      </c>
      <c r="D99" s="15"/>
      <c r="E99" s="9">
        <f t="shared" si="13"/>
        <v>0</v>
      </c>
      <c r="F99" s="15"/>
      <c r="G99" s="9">
        <f>ROUND(-(SUMIFS('Revenues detail  24'!$H$1:$H$149,'Revenues detail  24'!$O$149:'Revenues detail  24'!$O$1,1000000149217)),0)</f>
        <v>1708000</v>
      </c>
      <c r="H99" s="15"/>
      <c r="I99" s="9">
        <f>ROUND(-(SUMIFS('Revenues detail  24'!$P$1:$P$149,'Revenues detail  24'!$O$149:'Revenues detail  24'!$O$1,1000000149217)),0)</f>
        <v>854000</v>
      </c>
      <c r="J99" s="15"/>
      <c r="K99" s="9">
        <f>+I99-G99</f>
        <v>-854000</v>
      </c>
      <c r="L99" s="17"/>
      <c r="M99" s="18"/>
    </row>
    <row r="100" spans="2:15" x14ac:dyDescent="0.25">
      <c r="B100" s="22" t="s">
        <v>451</v>
      </c>
      <c r="C100" s="11">
        <f>SUM(C97:C99)</f>
        <v>2253750</v>
      </c>
      <c r="D100" s="15"/>
      <c r="E100" s="11">
        <f>SUM(E97:E99)</f>
        <v>868575</v>
      </c>
      <c r="F100" s="15"/>
      <c r="G100" s="11">
        <f>SUM(G97:G99)</f>
        <v>3122325</v>
      </c>
      <c r="H100" s="15"/>
      <c r="I100" s="11">
        <f>SUM(I97:I99)</f>
        <v>3333284</v>
      </c>
      <c r="J100" s="15"/>
      <c r="K100" s="11">
        <f>SUM(K97:K99)</f>
        <v>210959</v>
      </c>
      <c r="L100" s="17"/>
      <c r="M100" s="18"/>
      <c r="N100" s="7">
        <f>+G100/$G$102</f>
        <v>1.7923847478653568E-2</v>
      </c>
      <c r="O100" s="7">
        <f>+I100/G100</f>
        <v>1.0675647153963792</v>
      </c>
    </row>
    <row r="101" spans="2:15" x14ac:dyDescent="0.25">
      <c r="C101" s="19"/>
      <c r="D101" s="19"/>
      <c r="E101" s="19"/>
      <c r="F101" s="19"/>
      <c r="G101" s="19"/>
      <c r="H101" s="19"/>
      <c r="I101" s="19"/>
      <c r="J101" s="19"/>
      <c r="K101" s="19"/>
      <c r="L101" s="17"/>
      <c r="M101" s="18"/>
    </row>
    <row r="102" spans="2:15" ht="15.75" thickBot="1" x14ac:dyDescent="0.3">
      <c r="B102" t="s">
        <v>452</v>
      </c>
      <c r="C102" s="23">
        <f>+C100+C93+C86+C84+C73+C47+C27+C16</f>
        <v>141157207</v>
      </c>
      <c r="D102" s="20"/>
      <c r="E102" s="23">
        <f>+E100+E93+E86+E84+E73+E47+E27+E16</f>
        <v>33042278</v>
      </c>
      <c r="F102" s="20"/>
      <c r="G102" s="23">
        <f>+G100+G93+G86+G84+G73+G47+G27+G16</f>
        <v>174199485</v>
      </c>
      <c r="H102" s="20"/>
      <c r="I102" s="23">
        <f>I100+I93+I86+I84+I73+I47+I27+I16</f>
        <v>138005873</v>
      </c>
      <c r="J102" s="20"/>
      <c r="K102" s="23">
        <f>+K100+K93+K86+K84+K73+K47+K27+K16</f>
        <v>-36193612</v>
      </c>
      <c r="L102" s="17"/>
      <c r="M102" s="18"/>
    </row>
    <row r="103" spans="2:15" ht="15.75" thickTop="1" x14ac:dyDescent="0.25">
      <c r="C103" s="19"/>
      <c r="D103" s="19"/>
      <c r="E103" s="19"/>
      <c r="F103" s="19"/>
      <c r="G103" s="19"/>
      <c r="H103" s="19"/>
      <c r="I103" s="19"/>
      <c r="J103" s="19"/>
      <c r="K103" s="19"/>
      <c r="L103" s="17"/>
      <c r="M103" s="18"/>
    </row>
    <row r="104" spans="2:15" s="10" customFormat="1" x14ac:dyDescent="0.25">
      <c r="C104" s="15">
        <f>+Expenses!C90</f>
        <v>134371157</v>
      </c>
      <c r="D104" s="15"/>
      <c r="E104" s="15"/>
      <c r="F104" s="15"/>
      <c r="G104" s="15">
        <f>+Expenses!G90</f>
        <v>167515771</v>
      </c>
      <c r="H104" s="15"/>
      <c r="I104" s="15" t="e">
        <f>+'Revenues detail  24'!#REF!+600000</f>
        <v>#REF!</v>
      </c>
      <c r="J104" s="15"/>
      <c r="K104" s="15"/>
      <c r="L104" s="16"/>
      <c r="M104" s="16"/>
      <c r="N104" s="7"/>
      <c r="O104" s="7"/>
    </row>
    <row r="105" spans="2:15" x14ac:dyDescent="0.25">
      <c r="C105" s="13"/>
      <c r="D105" s="13"/>
      <c r="E105" s="13"/>
      <c r="F105" s="13"/>
      <c r="G105" s="13"/>
      <c r="H105" s="13"/>
      <c r="I105" s="13"/>
      <c r="J105" s="13"/>
      <c r="K105" s="13"/>
    </row>
    <row r="106" spans="2:15" x14ac:dyDescent="0.25">
      <c r="C106" s="13">
        <f>+C104-C102</f>
        <v>-6786050</v>
      </c>
      <c r="D106" s="13"/>
      <c r="E106" s="13"/>
      <c r="F106" s="13"/>
      <c r="G106" s="13">
        <f>+G104-G102</f>
        <v>-6683714</v>
      </c>
      <c r="H106" s="13"/>
      <c r="I106" s="13" t="e">
        <f>+I102+I104</f>
        <v>#REF!</v>
      </c>
      <c r="J106" s="13"/>
      <c r="K106" s="13"/>
    </row>
    <row r="107" spans="2:15" s="10" customFormat="1" x14ac:dyDescent="0.25">
      <c r="C107" s="9"/>
      <c r="D107" s="9"/>
      <c r="E107" s="9"/>
      <c r="F107" s="9"/>
      <c r="G107" s="9"/>
      <c r="H107" s="9"/>
      <c r="I107" s="9"/>
      <c r="J107" s="9"/>
      <c r="K107" s="9"/>
      <c r="N107" s="7"/>
      <c r="O107" s="7"/>
    </row>
    <row r="108" spans="2:15" s="10" customFormat="1" x14ac:dyDescent="0.25">
      <c r="C108" s="9"/>
      <c r="D108" s="9"/>
      <c r="E108" s="9"/>
      <c r="F108" s="9"/>
      <c r="G108" s="9">
        <v>158705639</v>
      </c>
      <c r="H108" s="9"/>
      <c r="I108" s="9"/>
      <c r="J108" s="9"/>
      <c r="K108" s="9"/>
      <c r="N108" s="7"/>
      <c r="O108" s="7"/>
    </row>
    <row r="109" spans="2:15" s="10" customFormat="1" x14ac:dyDescent="0.25">
      <c r="C109" s="9"/>
      <c r="D109" s="9"/>
      <c r="E109" s="9"/>
      <c r="F109" s="9"/>
      <c r="G109" s="9"/>
      <c r="H109" s="9"/>
      <c r="I109" s="9"/>
      <c r="J109" s="9"/>
      <c r="K109" s="9"/>
      <c r="N109" s="7"/>
      <c r="O109" s="7"/>
    </row>
    <row r="110" spans="2:15" s="10" customFormat="1" x14ac:dyDescent="0.25">
      <c r="C110" s="9"/>
      <c r="D110" s="9"/>
      <c r="E110" s="9"/>
      <c r="F110" s="9"/>
      <c r="G110" s="9"/>
      <c r="H110" s="9"/>
      <c r="I110" s="9"/>
      <c r="J110" s="9"/>
      <c r="K110" s="9"/>
      <c r="N110" s="7"/>
      <c r="O110" s="7"/>
    </row>
    <row r="111" spans="2:15" s="10" customFormat="1" x14ac:dyDescent="0.25">
      <c r="C111" s="9"/>
      <c r="D111" s="9"/>
      <c r="E111" s="9"/>
      <c r="F111" s="9"/>
      <c r="G111" s="9"/>
      <c r="H111" s="9"/>
      <c r="I111" s="9"/>
      <c r="J111" s="9"/>
      <c r="K111" s="9"/>
      <c r="N111" s="7"/>
      <c r="O111" s="7"/>
    </row>
    <row r="112" spans="2:15" s="10" customFormat="1" x14ac:dyDescent="0.25">
      <c r="C112" s="9"/>
      <c r="D112" s="9"/>
      <c r="E112" s="9"/>
      <c r="F112" s="9"/>
      <c r="G112" s="9"/>
      <c r="H112" s="9"/>
      <c r="I112" s="9"/>
      <c r="J112" s="9"/>
      <c r="K112" s="9"/>
      <c r="N112" s="7"/>
      <c r="O112" s="7"/>
    </row>
    <row r="113" spans="3:15" s="10" customFormat="1" x14ac:dyDescent="0.25">
      <c r="C113" s="9"/>
      <c r="D113" s="9"/>
      <c r="E113" s="9"/>
      <c r="F113" s="9"/>
      <c r="G113" s="9"/>
      <c r="H113" s="9"/>
      <c r="I113" s="9"/>
      <c r="J113" s="9"/>
      <c r="K113" s="9"/>
      <c r="N113" s="7"/>
      <c r="O113" s="7"/>
    </row>
    <row r="114" spans="3:15" s="10" customFormat="1" x14ac:dyDescent="0.25">
      <c r="C114" s="9"/>
      <c r="D114" s="9"/>
      <c r="E114" s="9"/>
      <c r="F114" s="9"/>
      <c r="G114" s="9"/>
      <c r="H114" s="9"/>
      <c r="I114" s="9"/>
      <c r="J114" s="9"/>
      <c r="K114" s="9"/>
      <c r="N114" s="7"/>
      <c r="O114" s="7"/>
    </row>
    <row r="115" spans="3:15" s="10" customFormat="1" x14ac:dyDescent="0.25">
      <c r="C115" s="9"/>
      <c r="D115" s="9"/>
      <c r="E115" s="9"/>
      <c r="F115" s="9"/>
      <c r="G115" s="9"/>
      <c r="H115" s="9"/>
      <c r="I115" s="9"/>
      <c r="J115" s="9"/>
      <c r="K115" s="9"/>
      <c r="N115" s="7"/>
      <c r="O115" s="7"/>
    </row>
    <row r="116" spans="3:15" s="10" customFormat="1" x14ac:dyDescent="0.25">
      <c r="C116" s="9"/>
      <c r="D116" s="9"/>
      <c r="E116" s="9"/>
      <c r="F116" s="9"/>
      <c r="G116" s="9"/>
      <c r="H116" s="9"/>
      <c r="I116" s="9"/>
      <c r="J116" s="9"/>
      <c r="K116" s="9"/>
      <c r="N116" s="7"/>
      <c r="O116" s="7"/>
    </row>
    <row r="117" spans="3:15" s="10" customFormat="1" x14ac:dyDescent="0.25">
      <c r="C117" s="9"/>
      <c r="D117" s="9"/>
      <c r="E117" s="9"/>
      <c r="F117" s="9"/>
      <c r="G117" s="9"/>
      <c r="H117" s="9"/>
      <c r="I117" s="9"/>
      <c r="J117" s="9"/>
      <c r="K117" s="9"/>
      <c r="N117" s="7"/>
      <c r="O117" s="7"/>
    </row>
    <row r="118" spans="3:15" s="10" customFormat="1" x14ac:dyDescent="0.25">
      <c r="C118" s="9"/>
      <c r="D118" s="9"/>
      <c r="E118" s="9"/>
      <c r="F118" s="9"/>
      <c r="G118" s="9"/>
      <c r="H118" s="9"/>
      <c r="I118" s="9"/>
      <c r="J118" s="9"/>
      <c r="K118" s="9"/>
      <c r="N118" s="7"/>
      <c r="O118" s="7"/>
    </row>
    <row r="119" spans="3:15" s="10" customFormat="1" x14ac:dyDescent="0.25">
      <c r="C119" s="9"/>
      <c r="D119" s="9"/>
      <c r="E119" s="9"/>
      <c r="F119" s="9"/>
      <c r="G119" s="9"/>
      <c r="H119" s="9"/>
      <c r="I119" s="9"/>
      <c r="J119" s="9"/>
      <c r="K119" s="9"/>
      <c r="N119" s="7"/>
      <c r="O119" s="7"/>
    </row>
    <row r="120" spans="3:15" s="10" customFormat="1" x14ac:dyDescent="0.25">
      <c r="C120" s="9"/>
      <c r="D120" s="9"/>
      <c r="E120" s="9"/>
      <c r="F120" s="9"/>
      <c r="G120" s="9"/>
      <c r="H120" s="9"/>
      <c r="I120" s="9"/>
      <c r="J120" s="9"/>
      <c r="K120" s="9"/>
      <c r="N120" s="7"/>
      <c r="O120" s="7"/>
    </row>
    <row r="121" spans="3:15" s="10" customFormat="1" x14ac:dyDescent="0.25">
      <c r="C121" s="9"/>
      <c r="D121" s="9"/>
      <c r="E121" s="9"/>
      <c r="F121" s="9"/>
      <c r="G121" s="9"/>
      <c r="H121" s="9"/>
      <c r="I121" s="9"/>
      <c r="J121" s="9"/>
      <c r="K121" s="9"/>
      <c r="N121" s="7"/>
      <c r="O121" s="7"/>
    </row>
    <row r="122" spans="3:15" s="10" customFormat="1" x14ac:dyDescent="0.25">
      <c r="C122" s="9"/>
      <c r="D122" s="9"/>
      <c r="E122" s="9"/>
      <c r="F122" s="9"/>
      <c r="G122" s="9"/>
      <c r="H122" s="9"/>
      <c r="I122" s="9"/>
      <c r="J122" s="9"/>
      <c r="K122" s="9"/>
      <c r="N122" s="7"/>
      <c r="O122" s="7"/>
    </row>
    <row r="123" spans="3:15" s="10" customFormat="1" x14ac:dyDescent="0.25">
      <c r="C123" s="9"/>
      <c r="D123" s="9"/>
      <c r="E123" s="9"/>
      <c r="F123" s="9"/>
      <c r="G123" s="9"/>
      <c r="H123" s="9"/>
      <c r="I123" s="9"/>
      <c r="J123" s="9"/>
      <c r="K123" s="9"/>
      <c r="N123" s="7"/>
      <c r="O123" s="7"/>
    </row>
    <row r="124" spans="3:15" s="10" customFormat="1" x14ac:dyDescent="0.25">
      <c r="C124" s="9"/>
      <c r="D124" s="9"/>
      <c r="E124" s="9"/>
      <c r="F124" s="9"/>
      <c r="G124" s="9"/>
      <c r="H124" s="9"/>
      <c r="I124" s="9"/>
      <c r="J124" s="9"/>
      <c r="K124" s="9"/>
      <c r="N124" s="7"/>
      <c r="O124" s="7"/>
    </row>
    <row r="125" spans="3:15" s="10" customFormat="1" x14ac:dyDescent="0.25">
      <c r="C125" s="9"/>
      <c r="D125" s="9"/>
      <c r="E125" s="9"/>
      <c r="F125" s="9"/>
      <c r="G125" s="9"/>
      <c r="H125" s="9"/>
      <c r="I125" s="9"/>
      <c r="J125" s="9"/>
      <c r="K125" s="9"/>
      <c r="N125" s="7"/>
      <c r="O125" s="7"/>
    </row>
    <row r="126" spans="3:15" s="10" customFormat="1" x14ac:dyDescent="0.25">
      <c r="C126" s="9"/>
      <c r="D126" s="9"/>
      <c r="E126" s="9"/>
      <c r="F126" s="9"/>
      <c r="G126" s="9"/>
      <c r="H126" s="9"/>
      <c r="I126" s="9"/>
      <c r="J126" s="9"/>
      <c r="K126" s="9"/>
      <c r="N126" s="7"/>
      <c r="O126" s="7"/>
    </row>
    <row r="127" spans="3:15" s="10" customFormat="1" x14ac:dyDescent="0.25">
      <c r="C127" s="9"/>
      <c r="D127" s="9"/>
      <c r="E127" s="9"/>
      <c r="F127" s="9"/>
      <c r="G127" s="9"/>
      <c r="H127" s="9"/>
      <c r="I127" s="9"/>
      <c r="J127" s="9"/>
      <c r="K127" s="9"/>
      <c r="N127" s="7"/>
      <c r="O127" s="7"/>
    </row>
    <row r="128" spans="3:15" s="10" customFormat="1" x14ac:dyDescent="0.25">
      <c r="C128" s="9"/>
      <c r="D128" s="9"/>
      <c r="E128" s="9"/>
      <c r="F128" s="9"/>
      <c r="G128" s="9"/>
      <c r="H128" s="9"/>
      <c r="I128" s="9"/>
      <c r="J128" s="9"/>
      <c r="K128" s="9"/>
      <c r="N128" s="7"/>
      <c r="O128" s="7"/>
    </row>
    <row r="129" spans="3:15" s="10" customFormat="1" x14ac:dyDescent="0.25">
      <c r="C129" s="9"/>
      <c r="D129" s="9"/>
      <c r="E129" s="9"/>
      <c r="F129" s="9"/>
      <c r="G129" s="9"/>
      <c r="H129" s="9"/>
      <c r="I129" s="9"/>
      <c r="J129" s="9"/>
      <c r="K129" s="9"/>
      <c r="N129" s="7"/>
      <c r="O129" s="7"/>
    </row>
    <row r="130" spans="3:15" s="10" customFormat="1" x14ac:dyDescent="0.25">
      <c r="C130" s="9"/>
      <c r="D130" s="9"/>
      <c r="E130" s="9"/>
      <c r="F130" s="9"/>
      <c r="G130" s="9"/>
      <c r="H130" s="9"/>
      <c r="I130" s="9"/>
      <c r="J130" s="9"/>
      <c r="K130" s="9"/>
      <c r="N130" s="7"/>
      <c r="O130" s="7"/>
    </row>
    <row r="131" spans="3:15" s="10" customFormat="1" x14ac:dyDescent="0.25">
      <c r="C131" s="9"/>
      <c r="D131" s="9"/>
      <c r="E131" s="9"/>
      <c r="F131" s="9"/>
      <c r="G131" s="9"/>
      <c r="H131" s="9"/>
      <c r="I131" s="9"/>
      <c r="J131" s="9"/>
      <c r="K131" s="9"/>
      <c r="N131" s="7"/>
      <c r="O131" s="7"/>
    </row>
    <row r="132" spans="3:15" s="10" customFormat="1" x14ac:dyDescent="0.25">
      <c r="C132" s="9"/>
      <c r="D132" s="9"/>
      <c r="E132" s="9"/>
      <c r="F132" s="9"/>
      <c r="G132" s="9"/>
      <c r="H132" s="9"/>
      <c r="I132" s="9"/>
      <c r="J132" s="9"/>
      <c r="K132" s="9"/>
      <c r="N132" s="7"/>
      <c r="O132" s="7"/>
    </row>
    <row r="133" spans="3:15" s="10" customFormat="1" x14ac:dyDescent="0.25">
      <c r="C133" s="9"/>
      <c r="D133" s="9"/>
      <c r="E133" s="9"/>
      <c r="F133" s="9"/>
      <c r="G133" s="9"/>
      <c r="H133" s="9"/>
      <c r="I133" s="9"/>
      <c r="J133" s="9"/>
      <c r="K133" s="9"/>
      <c r="N133" s="7"/>
      <c r="O133" s="7"/>
    </row>
    <row r="134" spans="3:15" s="10" customFormat="1" x14ac:dyDescent="0.25">
      <c r="C134" s="9"/>
      <c r="D134" s="9"/>
      <c r="E134" s="9"/>
      <c r="F134" s="9"/>
      <c r="G134" s="9"/>
      <c r="H134" s="9"/>
      <c r="I134" s="9"/>
      <c r="J134" s="9"/>
      <c r="K134" s="9"/>
      <c r="N134" s="7"/>
      <c r="O134" s="7"/>
    </row>
    <row r="135" spans="3:15" s="10" customFormat="1" x14ac:dyDescent="0.25">
      <c r="C135" s="9"/>
      <c r="D135" s="9"/>
      <c r="E135" s="9"/>
      <c r="F135" s="9"/>
      <c r="G135" s="9"/>
      <c r="H135" s="9"/>
      <c r="I135" s="9"/>
      <c r="J135" s="9"/>
      <c r="K135" s="9"/>
      <c r="N135" s="7"/>
      <c r="O135" s="7"/>
    </row>
    <row r="136" spans="3:15" s="10" customFormat="1" x14ac:dyDescent="0.25">
      <c r="C136" s="9"/>
      <c r="D136" s="9"/>
      <c r="E136" s="9"/>
      <c r="F136" s="9"/>
      <c r="G136" s="9"/>
      <c r="H136" s="9"/>
      <c r="I136" s="9"/>
      <c r="J136" s="9"/>
      <c r="K136" s="9"/>
      <c r="N136" s="7"/>
      <c r="O136" s="7"/>
    </row>
    <row r="137" spans="3:15" s="10" customFormat="1" x14ac:dyDescent="0.25">
      <c r="C137" s="9"/>
      <c r="D137" s="9"/>
      <c r="E137" s="9"/>
      <c r="F137" s="9"/>
      <c r="G137" s="9"/>
      <c r="H137" s="9"/>
      <c r="I137" s="9"/>
      <c r="J137" s="9"/>
      <c r="K137" s="9"/>
      <c r="N137" s="7"/>
      <c r="O137" s="7"/>
    </row>
    <row r="138" spans="3:15" s="10" customFormat="1" x14ac:dyDescent="0.25">
      <c r="C138" s="9"/>
      <c r="D138" s="9"/>
      <c r="E138" s="9"/>
      <c r="F138" s="9"/>
      <c r="G138" s="9"/>
      <c r="H138" s="9"/>
      <c r="I138" s="9"/>
      <c r="J138" s="9"/>
      <c r="K138" s="9"/>
      <c r="N138" s="7"/>
      <c r="O138" s="7"/>
    </row>
    <row r="139" spans="3:15" s="10" customFormat="1" x14ac:dyDescent="0.25">
      <c r="C139" s="9"/>
      <c r="D139" s="9"/>
      <c r="E139" s="9"/>
      <c r="F139" s="9"/>
      <c r="G139" s="9"/>
      <c r="H139" s="9"/>
      <c r="I139" s="9"/>
      <c r="J139" s="9"/>
      <c r="K139" s="9"/>
      <c r="N139" s="7"/>
      <c r="O139" s="7"/>
    </row>
    <row r="140" spans="3:15" s="10" customFormat="1" x14ac:dyDescent="0.25">
      <c r="C140" s="9"/>
      <c r="D140" s="9"/>
      <c r="E140" s="9"/>
      <c r="F140" s="9"/>
      <c r="G140" s="9"/>
      <c r="H140" s="9"/>
      <c r="I140" s="9"/>
      <c r="J140" s="9"/>
      <c r="K140" s="9"/>
      <c r="N140" s="7"/>
      <c r="O140" s="7"/>
    </row>
    <row r="141" spans="3:15" s="10" customFormat="1" x14ac:dyDescent="0.25">
      <c r="C141" s="9"/>
      <c r="D141" s="9"/>
      <c r="E141" s="9"/>
      <c r="F141" s="9"/>
      <c r="G141" s="9"/>
      <c r="H141" s="9"/>
      <c r="I141" s="9"/>
      <c r="J141" s="9"/>
      <c r="K141" s="9"/>
      <c r="N141" s="7"/>
      <c r="O141" s="7"/>
    </row>
    <row r="142" spans="3:15" s="10" customFormat="1" x14ac:dyDescent="0.25">
      <c r="C142" s="9"/>
      <c r="D142" s="9"/>
      <c r="E142" s="9"/>
      <c r="F142" s="9"/>
      <c r="G142" s="9"/>
      <c r="H142" s="9"/>
      <c r="I142" s="9"/>
      <c r="J142" s="9"/>
      <c r="K142" s="9"/>
      <c r="N142" s="7"/>
      <c r="O142" s="7"/>
    </row>
    <row r="143" spans="3:15" s="10" customFormat="1" x14ac:dyDescent="0.25">
      <c r="C143" s="9"/>
      <c r="D143" s="9"/>
      <c r="E143" s="9"/>
      <c r="F143" s="9"/>
      <c r="G143" s="9"/>
      <c r="H143" s="9"/>
      <c r="I143" s="9"/>
      <c r="J143" s="9"/>
      <c r="K143" s="9"/>
      <c r="N143" s="7"/>
      <c r="O143" s="7"/>
    </row>
    <row r="144" spans="3:15" s="10" customFormat="1" x14ac:dyDescent="0.25">
      <c r="C144" s="9"/>
      <c r="D144" s="9"/>
      <c r="E144" s="9"/>
      <c r="F144" s="9"/>
      <c r="G144" s="9"/>
      <c r="H144" s="9"/>
      <c r="I144" s="9"/>
      <c r="J144" s="9"/>
      <c r="K144" s="9"/>
      <c r="N144" s="7"/>
      <c r="O144" s="7"/>
    </row>
    <row r="145" spans="3:15" s="10" customFormat="1" x14ac:dyDescent="0.25">
      <c r="C145" s="9"/>
      <c r="D145" s="9"/>
      <c r="E145" s="9"/>
      <c r="F145" s="9"/>
      <c r="G145" s="9"/>
      <c r="H145" s="9"/>
      <c r="I145" s="9"/>
      <c r="J145" s="9"/>
      <c r="K145" s="9"/>
      <c r="N145" s="7"/>
      <c r="O145" s="7"/>
    </row>
    <row r="146" spans="3:15" s="10" customFormat="1" x14ac:dyDescent="0.25">
      <c r="C146" s="9"/>
      <c r="D146" s="9"/>
      <c r="E146" s="9"/>
      <c r="F146" s="9"/>
      <c r="G146" s="9"/>
      <c r="H146" s="9"/>
      <c r="I146" s="9"/>
      <c r="J146" s="9"/>
      <c r="K146" s="9"/>
      <c r="N146" s="7"/>
      <c r="O146" s="7"/>
    </row>
    <row r="147" spans="3:15" s="10" customFormat="1" x14ac:dyDescent="0.25">
      <c r="C147" s="9"/>
      <c r="D147" s="9"/>
      <c r="E147" s="9"/>
      <c r="F147" s="9"/>
      <c r="G147" s="9"/>
      <c r="H147" s="9"/>
      <c r="I147" s="9"/>
      <c r="J147" s="9"/>
      <c r="K147" s="9"/>
      <c r="N147" s="7"/>
      <c r="O147" s="7"/>
    </row>
    <row r="148" spans="3:15" s="10" customFormat="1" x14ac:dyDescent="0.25">
      <c r="C148" s="9"/>
      <c r="D148" s="9"/>
      <c r="E148" s="9"/>
      <c r="F148" s="9"/>
      <c r="G148" s="9"/>
      <c r="H148" s="9"/>
      <c r="I148" s="9"/>
      <c r="J148" s="9"/>
      <c r="K148" s="9"/>
      <c r="N148" s="7"/>
      <c r="O148" s="7"/>
    </row>
    <row r="149" spans="3:15" s="10" customFormat="1" x14ac:dyDescent="0.25">
      <c r="C149" s="9"/>
      <c r="D149" s="9"/>
      <c r="E149" s="9"/>
      <c r="F149" s="9"/>
      <c r="G149" s="9"/>
      <c r="H149" s="9"/>
      <c r="I149" s="9"/>
      <c r="J149" s="9"/>
      <c r="K149" s="9"/>
      <c r="N149" s="7"/>
      <c r="O149" s="7"/>
    </row>
    <row r="150" spans="3:15" s="10" customFormat="1" x14ac:dyDescent="0.25">
      <c r="C150" s="9"/>
      <c r="D150" s="9"/>
      <c r="E150" s="9"/>
      <c r="F150" s="9"/>
      <c r="G150" s="9"/>
      <c r="H150" s="9"/>
      <c r="I150" s="9"/>
      <c r="J150" s="9"/>
      <c r="K150" s="9"/>
      <c r="N150" s="7"/>
      <c r="O150" s="7"/>
    </row>
    <row r="151" spans="3:15" s="10" customFormat="1" x14ac:dyDescent="0.25">
      <c r="C151" s="9"/>
      <c r="D151" s="9"/>
      <c r="E151" s="9"/>
      <c r="F151" s="9"/>
      <c r="G151" s="9"/>
      <c r="H151" s="9"/>
      <c r="I151" s="9"/>
      <c r="J151" s="9"/>
      <c r="K151" s="9"/>
      <c r="N151" s="7"/>
      <c r="O151" s="7"/>
    </row>
    <row r="152" spans="3:15" s="10" customFormat="1" x14ac:dyDescent="0.25">
      <c r="C152" s="9"/>
      <c r="D152" s="9"/>
      <c r="E152" s="9"/>
      <c r="F152" s="9"/>
      <c r="G152" s="9"/>
      <c r="H152" s="9"/>
      <c r="I152" s="9"/>
      <c r="J152" s="9"/>
      <c r="K152" s="9"/>
      <c r="N152" s="7"/>
      <c r="O152" s="7"/>
    </row>
    <row r="153" spans="3:15" s="10" customFormat="1" x14ac:dyDescent="0.25">
      <c r="C153" s="9"/>
      <c r="D153" s="9"/>
      <c r="E153" s="9"/>
      <c r="F153" s="9"/>
      <c r="G153" s="9"/>
      <c r="H153" s="9"/>
      <c r="I153" s="9"/>
      <c r="J153" s="9"/>
      <c r="K153" s="9"/>
      <c r="N153" s="7"/>
      <c r="O153" s="7"/>
    </row>
    <row r="154" spans="3:15" s="10" customFormat="1" x14ac:dyDescent="0.25">
      <c r="C154" s="9"/>
      <c r="D154" s="9"/>
      <c r="E154" s="9"/>
      <c r="F154" s="9"/>
      <c r="G154" s="9"/>
      <c r="H154" s="9"/>
      <c r="I154" s="9"/>
      <c r="J154" s="9"/>
      <c r="K154" s="9"/>
      <c r="N154" s="7"/>
      <c r="O154" s="7"/>
    </row>
    <row r="155" spans="3:15" s="10" customFormat="1" x14ac:dyDescent="0.25">
      <c r="C155" s="9"/>
      <c r="D155" s="9"/>
      <c r="E155" s="9"/>
      <c r="F155" s="9"/>
      <c r="G155" s="9"/>
      <c r="H155" s="9"/>
      <c r="I155" s="9"/>
      <c r="J155" s="9"/>
      <c r="K155" s="9"/>
      <c r="N155" s="7"/>
      <c r="O155" s="7"/>
    </row>
    <row r="156" spans="3:15" s="10" customFormat="1" x14ac:dyDescent="0.25">
      <c r="C156" s="9"/>
      <c r="D156" s="9"/>
      <c r="E156" s="9"/>
      <c r="F156" s="9"/>
      <c r="G156" s="9"/>
      <c r="H156" s="9"/>
      <c r="I156" s="9"/>
      <c r="J156" s="9"/>
      <c r="K156" s="9"/>
      <c r="N156" s="7"/>
      <c r="O156" s="7"/>
    </row>
    <row r="157" spans="3:15" s="10" customFormat="1" x14ac:dyDescent="0.25">
      <c r="C157" s="9"/>
      <c r="D157" s="9"/>
      <c r="E157" s="9"/>
      <c r="F157" s="9"/>
      <c r="G157" s="9"/>
      <c r="H157" s="9"/>
      <c r="I157" s="9"/>
      <c r="J157" s="9"/>
      <c r="K157" s="9"/>
      <c r="N157" s="7"/>
      <c r="O157" s="7"/>
    </row>
    <row r="158" spans="3:15" s="10" customFormat="1" x14ac:dyDescent="0.25">
      <c r="C158" s="9"/>
      <c r="D158" s="9"/>
      <c r="E158" s="9"/>
      <c r="F158" s="9"/>
      <c r="G158" s="9"/>
      <c r="H158" s="9"/>
      <c r="I158" s="9"/>
      <c r="J158" s="9"/>
      <c r="K158" s="9"/>
      <c r="N158" s="7"/>
      <c r="O158" s="7"/>
    </row>
    <row r="159" spans="3:15" s="10" customFormat="1" x14ac:dyDescent="0.25">
      <c r="C159" s="9"/>
      <c r="D159" s="9"/>
      <c r="E159" s="9"/>
      <c r="F159" s="9"/>
      <c r="G159" s="9"/>
      <c r="H159" s="9"/>
      <c r="I159" s="9"/>
      <c r="J159" s="9"/>
      <c r="K159" s="9"/>
      <c r="N159" s="7"/>
      <c r="O159" s="7"/>
    </row>
    <row r="160" spans="3:15" s="10" customFormat="1" x14ac:dyDescent="0.25">
      <c r="C160" s="9"/>
      <c r="D160" s="9"/>
      <c r="E160" s="9"/>
      <c r="F160" s="9"/>
      <c r="G160" s="9"/>
      <c r="H160" s="9"/>
      <c r="I160" s="9"/>
      <c r="J160" s="9"/>
      <c r="K160" s="9"/>
      <c r="N160" s="7"/>
      <c r="O160" s="7"/>
    </row>
    <row r="161" spans="3:15" s="10" customFormat="1" x14ac:dyDescent="0.25">
      <c r="C161" s="9"/>
      <c r="D161" s="9"/>
      <c r="E161" s="9"/>
      <c r="F161" s="9"/>
      <c r="G161" s="9"/>
      <c r="H161" s="9"/>
      <c r="I161" s="9"/>
      <c r="J161" s="9"/>
      <c r="K161" s="9"/>
      <c r="N161" s="7"/>
      <c r="O161" s="7"/>
    </row>
    <row r="162" spans="3:15" s="10" customFormat="1" x14ac:dyDescent="0.25">
      <c r="C162" s="9"/>
      <c r="D162" s="9"/>
      <c r="E162" s="9"/>
      <c r="F162" s="9"/>
      <c r="G162" s="9"/>
      <c r="H162" s="9"/>
      <c r="I162" s="9"/>
      <c r="J162" s="9"/>
      <c r="K162" s="9"/>
      <c r="N162" s="7"/>
      <c r="O162" s="7"/>
    </row>
    <row r="163" spans="3:15" s="10" customFormat="1" x14ac:dyDescent="0.25">
      <c r="C163" s="9"/>
      <c r="D163" s="9"/>
      <c r="E163" s="9"/>
      <c r="F163" s="9"/>
      <c r="G163" s="9"/>
      <c r="H163" s="9"/>
      <c r="I163" s="9"/>
      <c r="J163" s="9"/>
      <c r="K163" s="9"/>
      <c r="N163" s="7"/>
      <c r="O163" s="7"/>
    </row>
    <row r="164" spans="3:15" s="10" customFormat="1" x14ac:dyDescent="0.25">
      <c r="C164" s="9"/>
      <c r="D164" s="9"/>
      <c r="E164" s="9"/>
      <c r="F164" s="9"/>
      <c r="G164" s="9"/>
      <c r="H164" s="9"/>
      <c r="I164" s="9"/>
      <c r="J164" s="9"/>
      <c r="K164" s="9"/>
      <c r="N164" s="7"/>
      <c r="O164" s="7"/>
    </row>
    <row r="165" spans="3:15" s="10" customFormat="1" x14ac:dyDescent="0.25">
      <c r="C165" s="9"/>
      <c r="D165" s="9"/>
      <c r="E165" s="9"/>
      <c r="F165" s="9"/>
      <c r="G165" s="9"/>
      <c r="H165" s="9"/>
      <c r="I165" s="9"/>
      <c r="J165" s="9"/>
      <c r="K165" s="9"/>
      <c r="N165" s="7"/>
      <c r="O165" s="7"/>
    </row>
    <row r="166" spans="3:15" s="10" customFormat="1" x14ac:dyDescent="0.25">
      <c r="C166" s="9"/>
      <c r="D166" s="9"/>
      <c r="E166" s="9"/>
      <c r="F166" s="9"/>
      <c r="G166" s="9"/>
      <c r="H166" s="9"/>
      <c r="I166" s="9"/>
      <c r="J166" s="9"/>
      <c r="K166" s="9"/>
      <c r="N166" s="7"/>
      <c r="O166" s="7"/>
    </row>
    <row r="167" spans="3:15" s="10" customFormat="1" x14ac:dyDescent="0.25">
      <c r="C167" s="9"/>
      <c r="D167" s="9"/>
      <c r="E167" s="9"/>
      <c r="F167" s="9"/>
      <c r="G167" s="9"/>
      <c r="H167" s="9"/>
      <c r="I167" s="9"/>
      <c r="J167" s="9"/>
      <c r="K167" s="9"/>
      <c r="N167" s="7"/>
      <c r="O167" s="7"/>
    </row>
    <row r="168" spans="3:15" s="10" customFormat="1" x14ac:dyDescent="0.25">
      <c r="C168" s="9"/>
      <c r="D168" s="9"/>
      <c r="E168" s="9"/>
      <c r="F168" s="9"/>
      <c r="G168" s="9"/>
      <c r="H168" s="9"/>
      <c r="I168" s="9"/>
      <c r="J168" s="9"/>
      <c r="K168" s="9"/>
      <c r="N168" s="7"/>
      <c r="O168" s="7"/>
    </row>
    <row r="169" spans="3:15" s="10" customFormat="1" x14ac:dyDescent="0.25">
      <c r="C169" s="9"/>
      <c r="D169" s="9"/>
      <c r="E169" s="9"/>
      <c r="F169" s="9"/>
      <c r="G169" s="9"/>
      <c r="H169" s="9"/>
      <c r="I169" s="9"/>
      <c r="J169" s="9"/>
      <c r="K169" s="9"/>
      <c r="N169" s="7"/>
      <c r="O169" s="7"/>
    </row>
    <row r="170" spans="3:15" s="10" customFormat="1" x14ac:dyDescent="0.25">
      <c r="C170" s="9"/>
      <c r="D170" s="9"/>
      <c r="E170" s="9"/>
      <c r="F170" s="9"/>
      <c r="G170" s="9"/>
      <c r="H170" s="9"/>
      <c r="I170" s="9"/>
      <c r="J170" s="9"/>
      <c r="K170" s="9"/>
      <c r="N170" s="7"/>
      <c r="O170" s="7"/>
    </row>
    <row r="171" spans="3:15" s="10" customFormat="1" x14ac:dyDescent="0.25">
      <c r="C171" s="9"/>
      <c r="D171" s="9"/>
      <c r="E171" s="9"/>
      <c r="F171" s="9"/>
      <c r="G171" s="9"/>
      <c r="H171" s="9"/>
      <c r="I171" s="9"/>
      <c r="J171" s="9"/>
      <c r="K171" s="9"/>
      <c r="N171" s="7"/>
      <c r="O171" s="7"/>
    </row>
    <row r="172" spans="3:15" s="10" customFormat="1" x14ac:dyDescent="0.25">
      <c r="C172" s="9"/>
      <c r="D172" s="9"/>
      <c r="E172" s="9"/>
      <c r="F172" s="9"/>
      <c r="G172" s="9"/>
      <c r="H172" s="9"/>
      <c r="I172" s="9"/>
      <c r="J172" s="9"/>
      <c r="K172" s="9"/>
      <c r="N172" s="7"/>
      <c r="O172" s="7"/>
    </row>
    <row r="173" spans="3:15" s="10" customFormat="1" x14ac:dyDescent="0.25">
      <c r="C173" s="9"/>
      <c r="D173" s="9"/>
      <c r="E173" s="9"/>
      <c r="F173" s="9"/>
      <c r="G173" s="9"/>
      <c r="H173" s="9"/>
      <c r="I173" s="9"/>
      <c r="J173" s="9"/>
      <c r="K173" s="9"/>
      <c r="N173" s="7"/>
      <c r="O173" s="7"/>
    </row>
    <row r="174" spans="3:15" s="10" customFormat="1" x14ac:dyDescent="0.25">
      <c r="C174" s="9"/>
      <c r="D174" s="9"/>
      <c r="E174" s="9"/>
      <c r="F174" s="9"/>
      <c r="G174" s="9"/>
      <c r="H174" s="9"/>
      <c r="I174" s="9"/>
      <c r="J174" s="9"/>
      <c r="K174" s="9"/>
      <c r="N174" s="7"/>
      <c r="O174" s="7"/>
    </row>
    <row r="175" spans="3:15" s="10" customFormat="1" x14ac:dyDescent="0.25">
      <c r="C175" s="9"/>
      <c r="D175" s="9"/>
      <c r="E175" s="9"/>
      <c r="F175" s="9"/>
      <c r="G175" s="9"/>
      <c r="H175" s="9"/>
      <c r="I175" s="9"/>
      <c r="J175" s="9"/>
      <c r="K175" s="9"/>
      <c r="N175" s="7"/>
      <c r="O175" s="7"/>
    </row>
    <row r="176" spans="3:15" s="10" customFormat="1" x14ac:dyDescent="0.25">
      <c r="C176" s="9"/>
      <c r="D176" s="9"/>
      <c r="E176" s="9"/>
      <c r="F176" s="9"/>
      <c r="G176" s="9"/>
      <c r="H176" s="9"/>
      <c r="I176" s="9"/>
      <c r="J176" s="9"/>
      <c r="K176" s="9"/>
      <c r="N176" s="7"/>
      <c r="O176" s="7"/>
    </row>
    <row r="177" spans="3:15" s="10" customFormat="1" x14ac:dyDescent="0.25">
      <c r="C177" s="9"/>
      <c r="D177" s="9"/>
      <c r="E177" s="9"/>
      <c r="F177" s="9"/>
      <c r="G177" s="9"/>
      <c r="H177" s="9"/>
      <c r="I177" s="9"/>
      <c r="J177" s="9"/>
      <c r="K177" s="9"/>
      <c r="N177" s="7"/>
      <c r="O177" s="7"/>
    </row>
    <row r="178" spans="3:15" s="10" customFormat="1" x14ac:dyDescent="0.25">
      <c r="C178" s="9"/>
      <c r="D178" s="9"/>
      <c r="E178" s="9"/>
      <c r="F178" s="9"/>
      <c r="G178" s="9"/>
      <c r="H178" s="9"/>
      <c r="I178" s="9"/>
      <c r="J178" s="9"/>
      <c r="K178" s="9"/>
      <c r="N178" s="7"/>
      <c r="O178" s="7"/>
    </row>
    <row r="179" spans="3:15" s="10" customFormat="1" x14ac:dyDescent="0.25">
      <c r="C179" s="9"/>
      <c r="D179" s="9"/>
      <c r="E179" s="9"/>
      <c r="F179" s="9"/>
      <c r="G179" s="9"/>
      <c r="H179" s="9"/>
      <c r="I179" s="9"/>
      <c r="J179" s="9"/>
      <c r="K179" s="9"/>
      <c r="N179" s="7"/>
      <c r="O179" s="7"/>
    </row>
    <row r="180" spans="3:15" s="10" customFormat="1" x14ac:dyDescent="0.25">
      <c r="C180" s="9"/>
      <c r="D180" s="9"/>
      <c r="E180" s="9"/>
      <c r="F180" s="9"/>
      <c r="G180" s="9"/>
      <c r="H180" s="9"/>
      <c r="I180" s="9"/>
      <c r="J180" s="9"/>
      <c r="K180" s="9"/>
      <c r="N180" s="7"/>
      <c r="O180" s="7"/>
    </row>
    <row r="181" spans="3:15" s="10" customFormat="1" x14ac:dyDescent="0.25">
      <c r="C181" s="9"/>
      <c r="D181" s="9"/>
      <c r="E181" s="9"/>
      <c r="F181" s="9"/>
      <c r="G181" s="9"/>
      <c r="H181" s="9"/>
      <c r="I181" s="9"/>
      <c r="J181" s="9"/>
      <c r="K181" s="9"/>
      <c r="N181" s="7"/>
      <c r="O181" s="7"/>
    </row>
    <row r="182" spans="3:15" s="10" customFormat="1" x14ac:dyDescent="0.25">
      <c r="C182" s="9"/>
      <c r="D182" s="9"/>
      <c r="E182" s="9"/>
      <c r="F182" s="9"/>
      <c r="G182" s="9"/>
      <c r="H182" s="9"/>
      <c r="I182" s="9"/>
      <c r="J182" s="9"/>
      <c r="K182" s="9"/>
      <c r="N182" s="7"/>
      <c r="O182" s="7"/>
    </row>
    <row r="183" spans="3:15" s="10" customFormat="1" x14ac:dyDescent="0.25">
      <c r="C183" s="9"/>
      <c r="D183" s="9"/>
      <c r="E183" s="9"/>
      <c r="F183" s="9"/>
      <c r="G183" s="9"/>
      <c r="H183" s="9"/>
      <c r="I183" s="9"/>
      <c r="J183" s="9"/>
      <c r="K183" s="9"/>
      <c r="N183" s="7"/>
      <c r="O183" s="7"/>
    </row>
    <row r="184" spans="3:15" s="10" customFormat="1" x14ac:dyDescent="0.25">
      <c r="C184" s="9"/>
      <c r="D184" s="9"/>
      <c r="E184" s="9"/>
      <c r="F184" s="9"/>
      <c r="G184" s="9"/>
      <c r="H184" s="9"/>
      <c r="I184" s="9"/>
      <c r="J184" s="9"/>
      <c r="K184" s="9"/>
      <c r="N184" s="7"/>
      <c r="O184" s="7"/>
    </row>
    <row r="185" spans="3:15" s="10" customFormat="1" x14ac:dyDescent="0.25">
      <c r="C185" s="9"/>
      <c r="D185" s="9"/>
      <c r="E185" s="9"/>
      <c r="F185" s="9"/>
      <c r="G185" s="9"/>
      <c r="H185" s="9"/>
      <c r="I185" s="9"/>
      <c r="J185" s="9"/>
      <c r="K185" s="9"/>
      <c r="N185" s="7"/>
      <c r="O185" s="7"/>
    </row>
    <row r="186" spans="3:15" x14ac:dyDescent="0.25">
      <c r="C186" s="13"/>
      <c r="D186" s="13"/>
      <c r="E186" s="13"/>
      <c r="F186" s="13"/>
      <c r="G186" s="13"/>
      <c r="H186" s="13"/>
      <c r="I186" s="13"/>
      <c r="J186" s="13"/>
      <c r="K186" s="13"/>
    </row>
    <row r="187" spans="3:15" x14ac:dyDescent="0.25">
      <c r="C187" s="13"/>
      <c r="D187" s="13"/>
      <c r="E187" s="13"/>
      <c r="F187" s="13"/>
      <c r="G187" s="13"/>
      <c r="H187" s="13"/>
      <c r="I187" s="13"/>
      <c r="J187" s="13"/>
      <c r="K187" s="13"/>
    </row>
    <row r="188" spans="3:15" x14ac:dyDescent="0.25">
      <c r="C188" s="13"/>
      <c r="D188" s="13"/>
      <c r="E188" s="13"/>
      <c r="F188" s="13"/>
      <c r="G188" s="13"/>
      <c r="H188" s="13"/>
      <c r="I188" s="13"/>
      <c r="J188" s="13"/>
      <c r="K188" s="13"/>
    </row>
    <row r="189" spans="3:15" x14ac:dyDescent="0.25">
      <c r="C189" s="13"/>
      <c r="D189" s="13"/>
      <c r="E189" s="13"/>
      <c r="F189" s="13"/>
      <c r="G189" s="13"/>
      <c r="H189" s="13"/>
      <c r="I189" s="13"/>
      <c r="J189" s="13"/>
      <c r="K189" s="13"/>
    </row>
    <row r="190" spans="3:15" x14ac:dyDescent="0.25">
      <c r="C190" s="13"/>
      <c r="D190" s="13"/>
      <c r="E190" s="13"/>
      <c r="F190" s="13"/>
      <c r="G190" s="13"/>
      <c r="H190" s="13"/>
      <c r="I190" s="13"/>
      <c r="J190" s="13"/>
      <c r="K190" s="13"/>
    </row>
    <row r="191" spans="3:15" x14ac:dyDescent="0.25">
      <c r="C191" s="13"/>
      <c r="D191" s="13"/>
      <c r="E191" s="13"/>
      <c r="F191" s="13"/>
      <c r="G191" s="13"/>
      <c r="H191" s="13"/>
      <c r="I191" s="13"/>
      <c r="J191" s="13"/>
      <c r="K191" s="13"/>
    </row>
    <row r="192" spans="3:15" x14ac:dyDescent="0.25">
      <c r="C192" s="13"/>
      <c r="D192" s="13"/>
      <c r="E192" s="13"/>
      <c r="F192" s="13"/>
      <c r="G192" s="13"/>
      <c r="H192" s="13"/>
      <c r="I192" s="13"/>
      <c r="J192" s="13"/>
      <c r="K192" s="13"/>
    </row>
    <row r="193" spans="3:11" x14ac:dyDescent="0.25">
      <c r="C193" s="13"/>
      <c r="D193" s="13"/>
      <c r="E193" s="13"/>
      <c r="F193" s="13"/>
      <c r="G193" s="13"/>
      <c r="H193" s="13"/>
      <c r="I193" s="13"/>
      <c r="J193" s="13"/>
      <c r="K193" s="13"/>
    </row>
    <row r="194" spans="3:11" x14ac:dyDescent="0.25">
      <c r="C194" s="13"/>
      <c r="D194" s="13"/>
      <c r="E194" s="13"/>
      <c r="F194" s="13"/>
      <c r="G194" s="13"/>
      <c r="H194" s="13"/>
      <c r="I194" s="13"/>
      <c r="J194" s="13"/>
      <c r="K194" s="13"/>
    </row>
    <row r="195" spans="3:11" x14ac:dyDescent="0.25">
      <c r="C195" s="13"/>
      <c r="D195" s="13"/>
      <c r="E195" s="13"/>
      <c r="F195" s="13"/>
      <c r="G195" s="13"/>
      <c r="H195" s="13"/>
      <c r="I195" s="13"/>
      <c r="J195" s="13"/>
      <c r="K195" s="13"/>
    </row>
    <row r="196" spans="3:11" x14ac:dyDescent="0.25">
      <c r="C196" s="13"/>
      <c r="D196" s="13"/>
      <c r="E196" s="13"/>
      <c r="F196" s="13"/>
      <c r="G196" s="13"/>
      <c r="H196" s="13"/>
      <c r="I196" s="13"/>
      <c r="J196" s="13"/>
      <c r="K196" s="13"/>
    </row>
    <row r="197" spans="3:11" x14ac:dyDescent="0.25">
      <c r="C197" s="13"/>
      <c r="D197" s="13"/>
      <c r="E197" s="13"/>
      <c r="F197" s="13"/>
      <c r="G197" s="13"/>
      <c r="H197" s="13"/>
      <c r="I197" s="13"/>
      <c r="J197" s="13"/>
      <c r="K197" s="13"/>
    </row>
    <row r="198" spans="3:11" x14ac:dyDescent="0.25">
      <c r="C198" s="13"/>
      <c r="D198" s="13"/>
      <c r="E198" s="13"/>
      <c r="F198" s="13"/>
      <c r="G198" s="13"/>
      <c r="H198" s="13"/>
      <c r="I198" s="13"/>
      <c r="J198" s="13"/>
      <c r="K198" s="13"/>
    </row>
    <row r="199" spans="3:11" x14ac:dyDescent="0.25">
      <c r="C199" s="13"/>
      <c r="D199" s="13"/>
      <c r="E199" s="13"/>
      <c r="F199" s="13"/>
      <c r="G199" s="13"/>
      <c r="H199" s="13"/>
      <c r="I199" s="13"/>
      <c r="J199" s="13"/>
      <c r="K199" s="13"/>
    </row>
    <row r="200" spans="3:11" x14ac:dyDescent="0.25">
      <c r="C200" s="13"/>
      <c r="D200" s="13"/>
      <c r="E200" s="13"/>
      <c r="F200" s="13"/>
      <c r="G200" s="13"/>
      <c r="H200" s="13"/>
      <c r="I200" s="13"/>
      <c r="J200" s="13"/>
      <c r="K200" s="13"/>
    </row>
    <row r="201" spans="3:11" x14ac:dyDescent="0.25">
      <c r="C201" s="13"/>
      <c r="D201" s="13"/>
      <c r="E201" s="13"/>
      <c r="F201" s="13"/>
      <c r="G201" s="13"/>
      <c r="H201" s="13"/>
      <c r="I201" s="13"/>
      <c r="J201" s="13"/>
      <c r="K201" s="13"/>
    </row>
    <row r="202" spans="3:11" x14ac:dyDescent="0.25">
      <c r="C202" s="13"/>
      <c r="D202" s="13"/>
      <c r="E202" s="13"/>
      <c r="F202" s="13"/>
      <c r="G202" s="13"/>
      <c r="H202" s="13"/>
      <c r="I202" s="13"/>
      <c r="J202" s="13"/>
      <c r="K202" s="13"/>
    </row>
    <row r="203" spans="3:11" x14ac:dyDescent="0.25">
      <c r="C203" s="13"/>
      <c r="D203" s="13"/>
      <c r="E203" s="13"/>
      <c r="F203" s="13"/>
      <c r="G203" s="13"/>
      <c r="H203" s="13"/>
      <c r="I203" s="13"/>
      <c r="J203" s="13"/>
      <c r="K203" s="13"/>
    </row>
    <row r="204" spans="3:11" x14ac:dyDescent="0.25">
      <c r="C204" s="13"/>
      <c r="D204" s="13"/>
      <c r="E204" s="13"/>
      <c r="F204" s="13"/>
      <c r="G204" s="13"/>
      <c r="H204" s="13"/>
      <c r="I204" s="13"/>
      <c r="J204" s="13"/>
      <c r="K204" s="13"/>
    </row>
    <row r="205" spans="3:11" x14ac:dyDescent="0.25">
      <c r="C205" s="13"/>
      <c r="D205" s="13"/>
      <c r="E205" s="13"/>
      <c r="F205" s="13"/>
      <c r="G205" s="13"/>
      <c r="H205" s="13"/>
      <c r="I205" s="13"/>
      <c r="J205" s="13"/>
      <c r="K205" s="13"/>
    </row>
    <row r="206" spans="3:11" x14ac:dyDescent="0.25">
      <c r="C206" s="13"/>
      <c r="D206" s="13"/>
      <c r="E206" s="13"/>
      <c r="F206" s="13"/>
      <c r="G206" s="13"/>
      <c r="H206" s="13"/>
      <c r="I206" s="13"/>
      <c r="J206" s="13"/>
      <c r="K206" s="13"/>
    </row>
    <row r="207" spans="3:11" x14ac:dyDescent="0.25">
      <c r="C207" s="13"/>
      <c r="D207" s="13"/>
      <c r="E207" s="13"/>
      <c r="F207" s="13"/>
      <c r="G207" s="13"/>
      <c r="H207" s="13"/>
      <c r="I207" s="13"/>
      <c r="J207" s="13"/>
      <c r="K207" s="13"/>
    </row>
    <row r="208" spans="3:11" x14ac:dyDescent="0.25">
      <c r="C208" s="13"/>
      <c r="D208" s="13"/>
      <c r="E208" s="13"/>
      <c r="F208" s="13"/>
      <c r="G208" s="13"/>
      <c r="H208" s="13"/>
      <c r="I208" s="13"/>
      <c r="J208" s="13"/>
      <c r="K208" s="13"/>
    </row>
    <row r="209" spans="3:11" x14ac:dyDescent="0.25">
      <c r="C209" s="13"/>
      <c r="D209" s="13"/>
      <c r="E209" s="13"/>
      <c r="F209" s="13"/>
      <c r="G209" s="13"/>
      <c r="H209" s="13"/>
      <c r="I209" s="13"/>
      <c r="J209" s="13"/>
      <c r="K209" s="13"/>
    </row>
    <row r="210" spans="3:11" x14ac:dyDescent="0.25">
      <c r="C210" s="13"/>
      <c r="D210" s="13"/>
      <c r="E210" s="13"/>
      <c r="F210" s="13"/>
      <c r="G210" s="13"/>
      <c r="H210" s="13"/>
      <c r="I210" s="13"/>
      <c r="J210" s="13"/>
      <c r="K210" s="13"/>
    </row>
    <row r="211" spans="3:11" x14ac:dyDescent="0.25">
      <c r="C211" s="13"/>
      <c r="D211" s="13"/>
      <c r="E211" s="13"/>
      <c r="F211" s="13"/>
      <c r="G211" s="13"/>
      <c r="H211" s="13"/>
      <c r="I211" s="13"/>
      <c r="J211" s="13"/>
      <c r="K211" s="13"/>
    </row>
    <row r="212" spans="3:11" x14ac:dyDescent="0.25">
      <c r="C212" s="13"/>
      <c r="D212" s="13"/>
      <c r="E212" s="13"/>
      <c r="F212" s="13"/>
      <c r="G212" s="13"/>
      <c r="H212" s="13"/>
      <c r="I212" s="13"/>
      <c r="J212" s="13"/>
      <c r="K212" s="13"/>
    </row>
    <row r="213" spans="3:11" x14ac:dyDescent="0.25">
      <c r="C213" s="13"/>
      <c r="D213" s="13"/>
      <c r="E213" s="13"/>
      <c r="F213" s="13"/>
      <c r="G213" s="13"/>
      <c r="H213" s="13"/>
      <c r="I213" s="13"/>
      <c r="J213" s="13"/>
      <c r="K213" s="13"/>
    </row>
    <row r="214" spans="3:11" x14ac:dyDescent="0.25">
      <c r="C214" s="13"/>
      <c r="D214" s="13"/>
      <c r="E214" s="13"/>
      <c r="F214" s="13"/>
      <c r="G214" s="13"/>
      <c r="H214" s="13"/>
      <c r="I214" s="13"/>
      <c r="J214" s="13"/>
      <c r="K214" s="13"/>
    </row>
    <row r="215" spans="3:11" x14ac:dyDescent="0.25">
      <c r="C215" s="13"/>
      <c r="D215" s="13"/>
      <c r="E215" s="13"/>
      <c r="F215" s="13"/>
      <c r="G215" s="13"/>
      <c r="H215" s="13"/>
      <c r="I215" s="13"/>
      <c r="J215" s="13"/>
      <c r="K215" s="13"/>
    </row>
    <row r="216" spans="3:11" x14ac:dyDescent="0.25">
      <c r="C216" s="13"/>
      <c r="D216" s="13"/>
      <c r="E216" s="13"/>
      <c r="F216" s="13"/>
      <c r="G216" s="13"/>
      <c r="H216" s="13"/>
      <c r="I216" s="13"/>
      <c r="J216" s="13"/>
      <c r="K216" s="13"/>
    </row>
    <row r="217" spans="3:11" x14ac:dyDescent="0.25">
      <c r="C217" s="13"/>
      <c r="D217" s="13"/>
      <c r="E217" s="13"/>
      <c r="F217" s="13"/>
      <c r="G217" s="13"/>
      <c r="H217" s="13"/>
      <c r="I217" s="13"/>
      <c r="J217" s="13"/>
      <c r="K217" s="13"/>
    </row>
    <row r="218" spans="3:11" x14ac:dyDescent="0.25">
      <c r="C218" s="13"/>
      <c r="D218" s="13"/>
      <c r="E218" s="13"/>
      <c r="F218" s="13"/>
      <c r="G218" s="13"/>
      <c r="H218" s="13"/>
      <c r="I218" s="13"/>
      <c r="J218" s="13"/>
      <c r="K218" s="13"/>
    </row>
  </sheetData>
  <mergeCells count="3">
    <mergeCell ref="A1:K1"/>
    <mergeCell ref="A2:K2"/>
    <mergeCell ref="A3:K3"/>
  </mergeCells>
  <pageMargins left="0.7" right="0.7" top="0.75" bottom="0.75" header="0.3" footer="0.3"/>
  <pageSetup scale="7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R93"/>
  <sheetViews>
    <sheetView view="pageBreakPreview" zoomScale="160" zoomScaleNormal="115" zoomScaleSheetLayoutView="160" workbookViewId="0">
      <pane xSplit="2" ySplit="8" topLeftCell="C76" activePane="bottomRight" state="frozen"/>
      <selection pane="topRight" activeCell="C1" sqref="C1"/>
      <selection pane="bottomLeft" activeCell="A9" sqref="A9"/>
      <selection pane="bottomRight" activeCell="I82" sqref="I82"/>
    </sheetView>
  </sheetViews>
  <sheetFormatPr defaultRowHeight="15" x14ac:dyDescent="0.25"/>
  <cols>
    <col min="1" max="1" width="4.7109375" customWidth="1"/>
    <col min="2" max="2" width="38.140625" customWidth="1"/>
    <col min="3" max="3" width="15.85546875" customWidth="1"/>
    <col min="4" max="4" width="1.7109375" customWidth="1"/>
    <col min="5" max="5" width="15.85546875" customWidth="1"/>
    <col min="6" max="6" width="1.7109375" customWidth="1"/>
    <col min="7" max="7" width="15.85546875" customWidth="1"/>
    <col min="8" max="8" width="1.7109375" customWidth="1"/>
    <col min="9" max="9" width="15.85546875" customWidth="1"/>
    <col min="10" max="10" width="1.7109375" customWidth="1"/>
    <col min="11" max="11" width="15.85546875" customWidth="1"/>
    <col min="12" max="12" width="13.28515625" style="3" hidden="1" customWidth="1"/>
    <col min="13" max="13" width="16" style="7" bestFit="1" customWidth="1"/>
    <col min="14" max="14" width="13.28515625" style="7" customWidth="1"/>
    <col min="15" max="15" width="5.7109375" style="3" bestFit="1" customWidth="1"/>
    <col min="16" max="16" width="13.7109375" style="7" bestFit="1" customWidth="1"/>
    <col min="17" max="17" width="14.5703125" style="3" bestFit="1" customWidth="1"/>
    <col min="18" max="18" width="14.5703125" bestFit="1" customWidth="1"/>
  </cols>
  <sheetData>
    <row r="1" spans="1:18" x14ac:dyDescent="0.25">
      <c r="A1" s="102" t="s">
        <v>146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8" x14ac:dyDescent="0.25">
      <c r="A2" s="103" t="s">
        <v>453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8" x14ac:dyDescent="0.25">
      <c r="A3" s="104" t="str">
        <f>+'Revenues 24'!A3</f>
        <v>For the Period Ending June 30, 2023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</row>
    <row r="5" spans="1:18" x14ac:dyDescent="0.25">
      <c r="I5" s="4"/>
    </row>
    <row r="6" spans="1:18" x14ac:dyDescent="0.25">
      <c r="C6" s="4" t="s">
        <v>127</v>
      </c>
      <c r="D6" s="4"/>
      <c r="E6" s="4"/>
      <c r="G6" s="4" t="s">
        <v>145</v>
      </c>
      <c r="I6" s="4" t="s">
        <v>530</v>
      </c>
      <c r="K6" s="4"/>
      <c r="N6" s="7">
        <v>9.1666666666666667E-3</v>
      </c>
    </row>
    <row r="7" spans="1:18" x14ac:dyDescent="0.25">
      <c r="C7" s="4" t="s">
        <v>128</v>
      </c>
      <c r="D7" s="4"/>
      <c r="E7" s="4"/>
      <c r="G7" s="4" t="s">
        <v>128</v>
      </c>
      <c r="I7" s="4" t="s">
        <v>531</v>
      </c>
      <c r="K7" s="4"/>
    </row>
    <row r="8" spans="1:18" x14ac:dyDescent="0.25">
      <c r="C8" s="5">
        <v>45107</v>
      </c>
      <c r="D8" s="95"/>
      <c r="E8" s="95" t="s">
        <v>540</v>
      </c>
      <c r="G8" s="5">
        <v>45107</v>
      </c>
      <c r="I8" s="5">
        <v>45107</v>
      </c>
      <c r="K8" s="6" t="s">
        <v>130</v>
      </c>
    </row>
    <row r="9" spans="1:18" x14ac:dyDescent="0.25">
      <c r="A9" t="s">
        <v>125</v>
      </c>
    </row>
    <row r="10" spans="1:18" x14ac:dyDescent="0.25">
      <c r="B10" t="s">
        <v>101</v>
      </c>
      <c r="C10" s="8">
        <f>ROUND(SUMIFS('Expenses detail'!$F$2:$F$57,'Expenses detail'!$A$2:$A$57,10001081),0)</f>
        <v>2478889</v>
      </c>
      <c r="D10" s="8"/>
      <c r="E10" s="8">
        <f>+G10-C10</f>
        <v>0</v>
      </c>
      <c r="F10" s="8"/>
      <c r="G10" s="8">
        <f>ROUND(SUMIFS('Expenses detail'!$G$2:$G$57,'Expenses detail'!$A$2:$A$57,10001081),0)</f>
        <v>2478889</v>
      </c>
      <c r="H10" s="8"/>
      <c r="I10" s="8">
        <f>ROUND(SUMIFS('Expenses detail'!$M$2:$M$57,'Expenses detail'!$A$2:$A$57,10001081),0)</f>
        <v>2327292</v>
      </c>
      <c r="J10" s="8"/>
      <c r="K10" s="8">
        <f>+G10-I10</f>
        <v>151597</v>
      </c>
      <c r="O10" s="65">
        <f>+I10/G10</f>
        <v>0.93884478086755796</v>
      </c>
      <c r="P10" s="65">
        <v>0.92</v>
      </c>
      <c r="Q10" s="74">
        <f>+P10-O10</f>
        <v>-1.884478086755792E-2</v>
      </c>
      <c r="R10" s="66">
        <f>+Q10*C10</f>
        <v>-46714.119999999784</v>
      </c>
    </row>
    <row r="11" spans="1:18" x14ac:dyDescent="0.25">
      <c r="B11" t="s">
        <v>102</v>
      </c>
      <c r="C11" s="9">
        <f>ROUND((SUMIFS('Expenses detail'!$F$2:$F$57,'Expenses detail'!$A$2:$A$57,10001030))+(SUMIFS('Expenses detail'!$F$2:$F$57,'Expenses detail'!$A$2:$A$57,10001031)),0)</f>
        <v>1690279</v>
      </c>
      <c r="D11" s="9"/>
      <c r="E11" s="9">
        <f t="shared" ref="E11:E36" si="0">+G11-C11</f>
        <v>0</v>
      </c>
      <c r="F11" s="9"/>
      <c r="G11" s="9">
        <f>ROUND((SUMIFS('Expenses detail'!$G$2:$G$57,'Expenses detail'!$A$2:$A$57,10001030))+(SUMIFS('Expenses detail'!$G$2:$G$57,'Expenses detail'!$A$2:$A$57,10001031)),0)</f>
        <v>1690279</v>
      </c>
      <c r="H11" s="9"/>
      <c r="I11" s="9">
        <f>ROUND((SUMIFS('Expenses detail'!$M$2:$M$57,'Expenses detail'!$A$2:$A$57,10001030))+(SUMIFS('Expenses detail'!$M$2:$M$57,'Expenses detail'!$A$2:$A$57,10001031)),0)</f>
        <v>1525772</v>
      </c>
      <c r="J11" s="9"/>
      <c r="K11" s="9">
        <f t="shared" ref="K11:K19" si="1">+G11-I11</f>
        <v>164507</v>
      </c>
      <c r="O11" s="65">
        <f t="shared" ref="O11:O76" si="2">+I11/G11</f>
        <v>0.90267464720321322</v>
      </c>
      <c r="P11" s="65">
        <v>0.92</v>
      </c>
      <c r="Q11" s="74">
        <f t="shared" ref="Q11:Q36" si="3">+P11-O11</f>
        <v>1.7325352796786819E-2</v>
      </c>
      <c r="R11" s="66">
        <f t="shared" ref="R11:R36" si="4">+Q11*C11</f>
        <v>29284.680000000029</v>
      </c>
    </row>
    <row r="12" spans="1:18" x14ac:dyDescent="0.25">
      <c r="B12" t="s">
        <v>103</v>
      </c>
      <c r="C12" s="9">
        <f>ROUND(SUMIFS('Expenses detail'!$F$2:$F$57,'Expenses detail'!$A$2:$A$57,10001020),)</f>
        <v>2293412</v>
      </c>
      <c r="D12" s="9"/>
      <c r="E12" s="9">
        <f t="shared" si="0"/>
        <v>0</v>
      </c>
      <c r="F12" s="9"/>
      <c r="G12" s="9">
        <f>ROUND(SUMIFS('Expenses detail'!$G$2:$G$57,'Expenses detail'!$A$2:$A$57,10001020),0)</f>
        <v>2293412</v>
      </c>
      <c r="H12" s="9"/>
      <c r="I12" s="9">
        <f>ROUND(SUMIFS('Expenses detail'!$M$2:$M$57,'Expenses detail'!$A$2:$A$57,10001020),0)</f>
        <v>1863910</v>
      </c>
      <c r="J12" s="9"/>
      <c r="K12" s="9">
        <f t="shared" si="1"/>
        <v>429502</v>
      </c>
      <c r="O12" s="65">
        <f t="shared" si="2"/>
        <v>0.81272357517968863</v>
      </c>
      <c r="P12" s="65">
        <v>0.92</v>
      </c>
      <c r="Q12" s="74">
        <f t="shared" si="3"/>
        <v>0.10727642482031141</v>
      </c>
      <c r="R12" s="66">
        <f t="shared" si="4"/>
        <v>246029.04000000004</v>
      </c>
    </row>
    <row r="13" spans="1:18" x14ac:dyDescent="0.25">
      <c r="B13" t="s">
        <v>104</v>
      </c>
      <c r="C13" s="9">
        <f>ROUND(SUMIFS('Expenses detail'!$F$2:$F$57,'Expenses detail'!$A$2:$A$57,10001098),0)</f>
        <v>1700450</v>
      </c>
      <c r="D13" s="9"/>
      <c r="E13" s="9">
        <f t="shared" si="0"/>
        <v>0</v>
      </c>
      <c r="F13" s="9"/>
      <c r="G13" s="9">
        <f>ROUND(SUMIFS('Expenses detail'!$G$2:$G$57,'Expenses detail'!$A$2:$A$57,10001098),0)</f>
        <v>1700450</v>
      </c>
      <c r="H13" s="9"/>
      <c r="I13" s="9">
        <f>ROUND(SUMIFS('Expenses detail'!$M$2:$M$57,'Expenses detail'!$A$2:$A$57,10001098),0)</f>
        <v>1700450</v>
      </c>
      <c r="J13" s="9"/>
      <c r="K13" s="9">
        <f t="shared" si="1"/>
        <v>0</v>
      </c>
      <c r="O13" s="65">
        <f t="shared" si="2"/>
        <v>1</v>
      </c>
      <c r="P13" s="65">
        <v>0.92</v>
      </c>
      <c r="Q13" s="74"/>
      <c r="R13" s="66"/>
    </row>
    <row r="14" spans="1:18" x14ac:dyDescent="0.25">
      <c r="B14" t="s">
        <v>105</v>
      </c>
      <c r="C14" s="9">
        <f>ROUND(SUMIFS('Expenses detail'!$F$2:$F$57,'Expenses detail'!$A$2:$A$57,10001040),0)</f>
        <v>1061610</v>
      </c>
      <c r="D14" s="9"/>
      <c r="E14" s="9">
        <f t="shared" si="0"/>
        <v>0</v>
      </c>
      <c r="F14" s="9"/>
      <c r="G14" s="9">
        <f>ROUND(SUMIFS('Expenses detail'!$G$2:$G$57,'Expenses detail'!$A$2:$A$57,10001040),0)</f>
        <v>1061610</v>
      </c>
      <c r="H14" s="9"/>
      <c r="I14" s="9">
        <f>ROUND(SUMIFS('Expenses detail'!$M$2:$M$57,'Expenses detail'!$A$2:$A$57,10001040),0)</f>
        <v>1082097</v>
      </c>
      <c r="J14" s="9"/>
      <c r="K14" s="9">
        <f t="shared" si="1"/>
        <v>-20487</v>
      </c>
      <c r="O14" s="65">
        <f t="shared" si="2"/>
        <v>1.0192980473055078</v>
      </c>
      <c r="P14" s="65">
        <v>0.92</v>
      </c>
      <c r="Q14" s="74">
        <f t="shared" si="3"/>
        <v>-9.9298047305507731E-2</v>
      </c>
      <c r="R14" s="66">
        <f t="shared" si="4"/>
        <v>-105415.80000000006</v>
      </c>
    </row>
    <row r="15" spans="1:18" x14ac:dyDescent="0.25">
      <c r="B15" t="s">
        <v>106</v>
      </c>
      <c r="C15" s="9">
        <f>ROUND(SUMIFS('Expenses detail'!$F$2:$F$57,'Expenses detail'!$A2:$A57,10001000),0)</f>
        <v>1141011</v>
      </c>
      <c r="D15" s="9"/>
      <c r="E15" s="9">
        <f t="shared" si="0"/>
        <v>7235599</v>
      </c>
      <c r="F15" s="9"/>
      <c r="G15" s="9">
        <f>ROUND(SUMIFS('Expenses detail'!$G$2:$G$57,'Expenses detail'!$A2:$A57,10001000),0)</f>
        <v>8376610</v>
      </c>
      <c r="H15" s="9"/>
      <c r="I15" s="96">
        <v>7907471</v>
      </c>
      <c r="J15" s="9"/>
      <c r="K15" s="9">
        <f t="shared" si="1"/>
        <v>469139</v>
      </c>
      <c r="O15" s="65">
        <f t="shared" si="2"/>
        <v>0.94399416947906134</v>
      </c>
      <c r="P15" s="65">
        <v>0.92</v>
      </c>
      <c r="Q15" s="74">
        <f t="shared" si="3"/>
        <v>-2.39941694790613E-2</v>
      </c>
      <c r="R15" s="66">
        <f t="shared" si="4"/>
        <v>-27377.611311473214</v>
      </c>
    </row>
    <row r="16" spans="1:18" x14ac:dyDescent="0.25">
      <c r="B16" t="s">
        <v>107</v>
      </c>
      <c r="C16" s="9">
        <f>ROUND(SUMIFS('Expenses detail'!$F$2:$F$57,'Expenses detail'!$A$2:$A$57,10001010),0)</f>
        <v>1314900</v>
      </c>
      <c r="D16" s="9"/>
      <c r="E16" s="9">
        <f t="shared" si="0"/>
        <v>0</v>
      </c>
      <c r="F16" s="9"/>
      <c r="G16" s="9">
        <f>ROUND(SUMIFS('Expenses detail'!$G$2:$G$57,'Expenses detail'!$A$2:$A$57,10001010),0)</f>
        <v>1314900</v>
      </c>
      <c r="H16" s="9"/>
      <c r="I16" s="9">
        <f>ROUND(SUMIFS('Expenses detail'!$M$2:$M$57,'Expenses detail'!$A$2:$A$57,10001010),0)</f>
        <v>1274328</v>
      </c>
      <c r="J16" s="9"/>
      <c r="K16" s="9">
        <f t="shared" si="1"/>
        <v>40572</v>
      </c>
      <c r="O16" s="65">
        <f t="shared" si="2"/>
        <v>0.96914442162902126</v>
      </c>
      <c r="P16" s="65">
        <v>0.92</v>
      </c>
      <c r="Q16" s="74">
        <f t="shared" si="3"/>
        <v>-4.9144421629021218E-2</v>
      </c>
      <c r="R16" s="66">
        <f t="shared" si="4"/>
        <v>-64620</v>
      </c>
    </row>
    <row r="17" spans="2:18" x14ac:dyDescent="0.25">
      <c r="B17" t="s">
        <v>108</v>
      </c>
      <c r="C17" s="9">
        <f>ROUND(SUMIFS('Expenses detail'!$F$2:$F$57,'Expenses detail'!$A$2:$A$57,10001060),0)</f>
        <v>1007154</v>
      </c>
      <c r="D17" s="9"/>
      <c r="E17" s="9">
        <f t="shared" si="0"/>
        <v>0</v>
      </c>
      <c r="F17" s="9"/>
      <c r="G17" s="9">
        <f>ROUND(SUMIFS('Expenses detail'!$G$2:$G$57,'Expenses detail'!$A$2:$A$57,10001060),0)</f>
        <v>1007154</v>
      </c>
      <c r="H17" s="9"/>
      <c r="I17" s="9">
        <f>ROUND(SUMIFS('Expenses detail'!$M$2:$M$57,'Expenses detail'!$A$2:$A$57,10001060),0)</f>
        <v>886113</v>
      </c>
      <c r="J17" s="9"/>
      <c r="K17" s="9">
        <f t="shared" si="1"/>
        <v>121041</v>
      </c>
      <c r="O17" s="65">
        <f t="shared" si="2"/>
        <v>0.87981877647311135</v>
      </c>
      <c r="P17" s="65">
        <v>0.92</v>
      </c>
      <c r="Q17" s="74">
        <f t="shared" si="3"/>
        <v>4.0181223526888687E-2</v>
      </c>
      <c r="R17" s="66">
        <f t="shared" si="4"/>
        <v>40468.680000000051</v>
      </c>
    </row>
    <row r="18" spans="2:18" x14ac:dyDescent="0.25">
      <c r="B18" t="s">
        <v>109</v>
      </c>
      <c r="C18" s="9">
        <f>ROUND(SUMIFS('Expenses detail'!$F$2:$F$57,'Expenses detail'!$A$2:$A$57,10001090),0)</f>
        <v>416915</v>
      </c>
      <c r="D18" s="9"/>
      <c r="E18" s="9">
        <f t="shared" si="0"/>
        <v>0</v>
      </c>
      <c r="F18" s="9"/>
      <c r="G18" s="9">
        <f>ROUND(SUMIFS('Expenses detail'!$G$2:$G$57,'Expenses detail'!$A$2:$A$57,10001090),0)</f>
        <v>416915</v>
      </c>
      <c r="H18" s="9"/>
      <c r="I18" s="9">
        <f>ROUND(SUMIFS('Expenses detail'!$M$2:$M$57,'Expenses detail'!$A$2:$A$57,10001090),0)</f>
        <v>395753</v>
      </c>
      <c r="J18" s="9"/>
      <c r="K18" s="9">
        <f t="shared" si="1"/>
        <v>21162</v>
      </c>
      <c r="O18" s="65">
        <f t="shared" si="2"/>
        <v>0.94924145209455169</v>
      </c>
      <c r="P18" s="65">
        <v>0.92</v>
      </c>
      <c r="Q18" s="74">
        <f t="shared" si="3"/>
        <v>-2.9241452094551645E-2</v>
      </c>
      <c r="R18" s="66">
        <f t="shared" si="4"/>
        <v>-12191.199999999999</v>
      </c>
    </row>
    <row r="19" spans="2:18" x14ac:dyDescent="0.25">
      <c r="B19" t="s">
        <v>147</v>
      </c>
      <c r="C19" s="9">
        <f>ROUND(SUMIFS('Expenses detail'!$F$2:$F$57,'Expenses detail'!$A$2:$A$57,10001070),0)</f>
        <v>58386</v>
      </c>
      <c r="D19" s="9"/>
      <c r="E19" s="9">
        <f t="shared" si="0"/>
        <v>0</v>
      </c>
      <c r="F19" s="9"/>
      <c r="G19" s="9">
        <f>ROUND(SUMIFS('Expenses detail'!$G$2:$G$57,'Expenses detail'!$A$2:$A$57,10001070),0)</f>
        <v>58386</v>
      </c>
      <c r="H19" s="9"/>
      <c r="I19" s="9">
        <f>ROUND(SUMIFS('Expenses detail'!$M$2:$M$57,'Expenses detail'!$A$2:$A$57,10001070),0)</f>
        <v>54938</v>
      </c>
      <c r="J19" s="9"/>
      <c r="K19" s="9">
        <f t="shared" si="1"/>
        <v>3448</v>
      </c>
      <c r="O19" s="65">
        <f t="shared" si="2"/>
        <v>0.94094474702839725</v>
      </c>
      <c r="P19" s="65">
        <v>0.92</v>
      </c>
      <c r="Q19" s="74">
        <f t="shared" si="3"/>
        <v>-2.0944747028397215E-2</v>
      </c>
      <c r="R19" s="66">
        <f t="shared" si="4"/>
        <v>-1222.8799999999999</v>
      </c>
    </row>
    <row r="20" spans="2:18" x14ac:dyDescent="0.25">
      <c r="B20" t="s">
        <v>110</v>
      </c>
      <c r="C20" s="9">
        <f>ROUND(SUMIFS('Expenses detail'!$F$2:$F$57,'Expenses detail'!$A$2:$A$57,10001100),0)</f>
        <v>1978054</v>
      </c>
      <c r="D20" s="9"/>
      <c r="E20" s="9">
        <f t="shared" si="0"/>
        <v>23757</v>
      </c>
      <c r="F20" s="9"/>
      <c r="G20" s="9">
        <f>ROUND(SUMIFS('Expenses detail'!$G$2:$G$57,'Expenses detail'!$A$2:$A$57,10001100),0)</f>
        <v>2001811</v>
      </c>
      <c r="H20" s="9"/>
      <c r="I20" s="9">
        <f>ROUND(SUMIFS('Expenses detail'!$M$2:$M$57,'Expenses detail'!$A$2:$A$57,10001100),0)</f>
        <v>2091858</v>
      </c>
      <c r="J20" s="9"/>
      <c r="K20" s="9">
        <f t="shared" ref="K20:K31" si="5">+G20-I20</f>
        <v>-90047</v>
      </c>
      <c r="O20" s="65">
        <f t="shared" si="2"/>
        <v>1.0449827681034822</v>
      </c>
      <c r="P20" s="65">
        <v>0.92</v>
      </c>
      <c r="Q20" s="74">
        <f t="shared" si="3"/>
        <v>-0.12498276810348219</v>
      </c>
      <c r="R20" s="66">
        <f t="shared" si="4"/>
        <v>-247222.66437816535</v>
      </c>
    </row>
    <row r="21" spans="2:18" x14ac:dyDescent="0.25">
      <c r="B21" t="s">
        <v>111</v>
      </c>
      <c r="C21" s="9">
        <f>ROUND(SUMIFS('Expenses detail'!$F$2:$F$57,'Expenses detail'!$A$2:$A$57,10001101),0)</f>
        <v>491284</v>
      </c>
      <c r="D21" s="9"/>
      <c r="E21" s="9">
        <f t="shared" si="0"/>
        <v>0</v>
      </c>
      <c r="F21" s="9"/>
      <c r="G21" s="9">
        <f>ROUND(SUMIFS('Expenses detail'!$G$2:$G$57,'Expenses detail'!$A$2:$A$57,10001101),0)</f>
        <v>491284</v>
      </c>
      <c r="H21" s="9"/>
      <c r="I21" s="9">
        <f>ROUND(SUMIFS('Expenses detail'!$M$2:$M$57,'Expenses detail'!$A$2:$A$57,10001101),0)</f>
        <v>450129</v>
      </c>
      <c r="J21" s="9"/>
      <c r="K21" s="9">
        <f t="shared" si="5"/>
        <v>41155</v>
      </c>
      <c r="O21" s="65">
        <f t="shared" si="2"/>
        <v>0.91622971641657369</v>
      </c>
      <c r="P21" s="65">
        <v>0.92</v>
      </c>
      <c r="Q21" s="74">
        <f t="shared" si="3"/>
        <v>3.7702835834263482E-3</v>
      </c>
      <c r="R21" s="66">
        <f t="shared" si="4"/>
        <v>1852.28000000003</v>
      </c>
    </row>
    <row r="22" spans="2:18" x14ac:dyDescent="0.25">
      <c r="B22" t="s">
        <v>112</v>
      </c>
      <c r="C22" s="9">
        <f>ROUND(SUMIFS('Expenses detail'!$F$2:$F$57,'Expenses detail'!$A$2:$A$57,10001102),0)</f>
        <v>525366</v>
      </c>
      <c r="D22" s="9"/>
      <c r="E22" s="9">
        <f t="shared" si="0"/>
        <v>0</v>
      </c>
      <c r="F22" s="9"/>
      <c r="G22" s="9">
        <f>ROUND(SUMIFS('Expenses detail'!$G$2:$G$57,'Expenses detail'!$A$2:$A$57,10001102),0)</f>
        <v>525366</v>
      </c>
      <c r="H22" s="9"/>
      <c r="I22" s="9">
        <f>ROUND(SUMIFS('Expenses detail'!$M$2:$M$57,'Expenses detail'!$A$2:$A$57,10001102),0)</f>
        <v>512999</v>
      </c>
      <c r="J22" s="9"/>
      <c r="K22" s="9">
        <f t="shared" si="5"/>
        <v>12367</v>
      </c>
      <c r="O22" s="65">
        <f t="shared" si="2"/>
        <v>0.97646022011321632</v>
      </c>
      <c r="P22" s="65">
        <v>0.92</v>
      </c>
      <c r="Q22" s="74">
        <f t="shared" si="3"/>
        <v>-5.6460220113216275E-2</v>
      </c>
      <c r="R22" s="66">
        <f t="shared" si="4"/>
        <v>-29662.279999999981</v>
      </c>
    </row>
    <row r="23" spans="2:18" x14ac:dyDescent="0.25">
      <c r="B23" t="s">
        <v>113</v>
      </c>
      <c r="C23" s="9">
        <f>ROUND(SUMIFS('Expenses detail'!$F$2:$F$57,'Expenses detail'!$A$2:$A$57,10001103),0)</f>
        <v>1018945</v>
      </c>
      <c r="D23" s="9"/>
      <c r="E23" s="9">
        <f t="shared" si="0"/>
        <v>0</v>
      </c>
      <c r="F23" s="9"/>
      <c r="G23" s="9">
        <f>ROUND(SUMIFS('Expenses detail'!$G$2:$G$57,'Expenses detail'!$A$2:$A$57,10001103),0)</f>
        <v>1018945</v>
      </c>
      <c r="H23" s="9"/>
      <c r="I23" s="9">
        <f>ROUND(SUMIFS('Expenses detail'!$M$2:$M$57,'Expenses detail'!$A$2:$A$57,10001103),0)</f>
        <v>1044819</v>
      </c>
      <c r="J23" s="9"/>
      <c r="K23" s="9">
        <f t="shared" si="5"/>
        <v>-25874</v>
      </c>
      <c r="O23" s="65">
        <f t="shared" si="2"/>
        <v>1.0253929309236514</v>
      </c>
      <c r="P23" s="65">
        <v>0.92</v>
      </c>
      <c r="Q23" s="74">
        <f t="shared" si="3"/>
        <v>-0.10539293092365132</v>
      </c>
      <c r="R23" s="66">
        <f t="shared" si="4"/>
        <v>-107389.59999999989</v>
      </c>
    </row>
    <row r="24" spans="2:18" x14ac:dyDescent="0.25">
      <c r="B24" t="s">
        <v>114</v>
      </c>
      <c r="C24" s="9">
        <f>ROUND(SUMIFS('Expenses detail'!$F$2:$F$57,'Expenses detail'!$A$2:$A$57,10001111),0)</f>
        <v>1745218</v>
      </c>
      <c r="D24" s="9"/>
      <c r="E24" s="9">
        <f t="shared" si="0"/>
        <v>-94718</v>
      </c>
      <c r="F24" s="9"/>
      <c r="G24" s="9">
        <f>ROUND(SUMIFS('Expenses detail'!$G$2:$G$57,'Expenses detail'!$A$2:$A$57,10001111),0)</f>
        <v>1650500</v>
      </c>
      <c r="H24" s="9"/>
      <c r="I24" s="9">
        <f>ROUND(SUMIFS('Expenses detail'!$M$2:$M$57,'Expenses detail'!$A$2:$A$57,10001111),0)</f>
        <v>1495098</v>
      </c>
      <c r="J24" s="9"/>
      <c r="K24" s="9">
        <f t="shared" si="5"/>
        <v>155402</v>
      </c>
      <c r="O24" s="65">
        <f t="shared" si="2"/>
        <v>0.90584550136322328</v>
      </c>
      <c r="P24" s="65">
        <v>0.92</v>
      </c>
      <c r="Q24" s="74">
        <f t="shared" si="3"/>
        <v>1.4154498636776758E-2</v>
      </c>
      <c r="R24" s="66">
        <f t="shared" si="4"/>
        <v>24702.685801878259</v>
      </c>
    </row>
    <row r="25" spans="2:18" x14ac:dyDescent="0.25">
      <c r="B25" t="s">
        <v>115</v>
      </c>
      <c r="C25" s="9">
        <f>ROUND(SUMIFS('Expenses detail'!$F$2:$F$57,'Expenses detail'!$A$2:$A$57,10001115),0)</f>
        <v>4582865</v>
      </c>
      <c r="D25" s="9"/>
      <c r="E25" s="9">
        <f t="shared" si="0"/>
        <v>0</v>
      </c>
      <c r="F25" s="9"/>
      <c r="G25" s="9">
        <f>ROUND(SUMIFS('Expenses detail'!$G$2:$G$57,'Expenses detail'!$A$2:$A$57,10001115),0)</f>
        <v>4582865</v>
      </c>
      <c r="H25" s="9"/>
      <c r="I25" s="9">
        <f>ROUND(SUMIFS('Expenses detail'!$M$2:$M$57,'Expenses detail'!$A$2:$A$57,10001115),0)</f>
        <v>2923559</v>
      </c>
      <c r="J25" s="9"/>
      <c r="K25" s="9">
        <f t="shared" si="5"/>
        <v>1659306</v>
      </c>
      <c r="O25" s="65">
        <f t="shared" si="2"/>
        <v>0.63793260329510038</v>
      </c>
      <c r="P25" s="65">
        <v>0.92</v>
      </c>
      <c r="Q25" s="74">
        <f t="shared" si="3"/>
        <v>0.28206739670489966</v>
      </c>
      <c r="R25" s="66">
        <f t="shared" si="4"/>
        <v>1292676.8</v>
      </c>
    </row>
    <row r="26" spans="2:18" x14ac:dyDescent="0.25">
      <c r="B26" t="s">
        <v>116</v>
      </c>
      <c r="C26" s="9">
        <f>ROUND(SUMIFS('Expenses detail'!$F$2:$F$57,'Expenses detail'!$A$2:$A$57,10001116),0)</f>
        <v>257953</v>
      </c>
      <c r="D26" s="9"/>
      <c r="E26" s="9">
        <f t="shared" si="0"/>
        <v>0</v>
      </c>
      <c r="F26" s="9"/>
      <c r="G26" s="9">
        <f>ROUND(SUMIFS('Expenses detail'!$G$2:$G$57,'Expenses detail'!$A$2:$A$57,10001116),0)</f>
        <v>257953</v>
      </c>
      <c r="H26" s="9"/>
      <c r="I26" s="9">
        <f>ROUND(SUMIFS('Expenses detail'!$M$2:$M$57,'Expenses detail'!$A$2:$A$57,10001116),0)</f>
        <v>264382</v>
      </c>
      <c r="J26" s="9"/>
      <c r="K26" s="9">
        <f t="shared" si="5"/>
        <v>-6429</v>
      </c>
      <c r="O26" s="65">
        <f t="shared" si="2"/>
        <v>1.0249231449139959</v>
      </c>
      <c r="P26" s="65">
        <v>0.92</v>
      </c>
      <c r="Q26" s="74">
        <f t="shared" si="3"/>
        <v>-0.1049231449139959</v>
      </c>
      <c r="R26" s="66">
        <f t="shared" si="4"/>
        <v>-27065.239999999983</v>
      </c>
    </row>
    <row r="27" spans="2:18" x14ac:dyDescent="0.25">
      <c r="B27" t="s">
        <v>117</v>
      </c>
      <c r="C27" s="9">
        <f>ROUND(SUMIFS('Expenses detail'!$F$2:$F$57,'Expenses detail'!$A$2:$A$57,10001120),0)</f>
        <v>2261414</v>
      </c>
      <c r="D27" s="9"/>
      <c r="E27" s="9">
        <f t="shared" si="0"/>
        <v>0</v>
      </c>
      <c r="F27" s="9"/>
      <c r="G27" s="9">
        <f>ROUND(SUMIFS('Expenses detail'!$G$2:$G$57,'Expenses detail'!$A$2:$A$57,10001120),0)</f>
        <v>2261414</v>
      </c>
      <c r="H27" s="9"/>
      <c r="I27" s="9">
        <f>ROUND(SUMIFS('Expenses detail'!$M$2:$M$57,'Expenses detail'!$A$2:$A$57,10001120),0)</f>
        <v>2177085</v>
      </c>
      <c r="J27" s="9"/>
      <c r="K27" s="9">
        <f t="shared" si="5"/>
        <v>84329</v>
      </c>
      <c r="M27" s="7">
        <f>+I27/G27</f>
        <v>0.9627096144270797</v>
      </c>
      <c r="O27" s="65">
        <f t="shared" si="2"/>
        <v>0.9627096144270797</v>
      </c>
      <c r="P27" s="65">
        <v>0.92</v>
      </c>
      <c r="Q27" s="74">
        <f t="shared" si="3"/>
        <v>-4.2709614427079656E-2</v>
      </c>
      <c r="R27" s="66">
        <f t="shared" si="4"/>
        <v>-96584.119999999908</v>
      </c>
    </row>
    <row r="28" spans="2:18" x14ac:dyDescent="0.25">
      <c r="B28" t="s">
        <v>118</v>
      </c>
      <c r="C28" s="9">
        <f>ROUND(SUMIFS('Expenses detail'!$F$2:$F$57,'Expenses detail'!$A$2:$A$57,10001122),0)</f>
        <v>477535</v>
      </c>
      <c r="D28" s="9"/>
      <c r="E28" s="9">
        <f t="shared" si="0"/>
        <v>0</v>
      </c>
      <c r="F28" s="9"/>
      <c r="G28" s="9">
        <f>ROUND(SUMIFS('Expenses detail'!$G$2:$G$57,'Expenses detail'!$A$2:$A$57,10001122),0)</f>
        <v>477535</v>
      </c>
      <c r="H28" s="9"/>
      <c r="I28" s="9">
        <f>ROUND(SUMIFS('Expenses detail'!$M$2:$M$57,'Expenses detail'!$A$2:$A$57,10001122),0)</f>
        <v>430705</v>
      </c>
      <c r="J28" s="9"/>
      <c r="K28" s="9">
        <f t="shared" si="5"/>
        <v>46830</v>
      </c>
      <c r="O28" s="65">
        <f t="shared" si="2"/>
        <v>0.90193388966253785</v>
      </c>
      <c r="P28" s="65">
        <v>0.92</v>
      </c>
      <c r="Q28" s="74">
        <f t="shared" si="3"/>
        <v>1.8066110337462193E-2</v>
      </c>
      <c r="R28" s="66">
        <f t="shared" si="4"/>
        <v>8627.200000000008</v>
      </c>
    </row>
    <row r="29" spans="2:18" x14ac:dyDescent="0.25">
      <c r="B29" t="s">
        <v>148</v>
      </c>
      <c r="C29" s="9">
        <f>ROUND((SUMIFS('Expenses detail'!$F$2:$F$57,'Expenses detail'!$A$2:$A$57,10001130))+(SUMIFS('Expenses detail'!$F$2:$F$57,'Expenses detail'!$A$2:$A$57,10001132)),0)</f>
        <v>1202496</v>
      </c>
      <c r="D29" s="9"/>
      <c r="E29" s="9">
        <f t="shared" si="0"/>
        <v>0</v>
      </c>
      <c r="F29" s="9"/>
      <c r="G29" s="9">
        <f>ROUND((SUMIFS('Expenses detail'!$G$2:$G$57,'Expenses detail'!$A$2:$A$57,10001130))+(SUMIFS('Expenses detail'!$G$2:$G$57,'Expenses detail'!$A$2:$A$57,10001132)),0)</f>
        <v>1202496</v>
      </c>
      <c r="H29" s="9"/>
      <c r="I29" s="9">
        <f>ROUND((SUMIFS('Expenses detail'!$M$2:$M$57,'Expenses detail'!$A$2:$A$57,10001130))+(SUMIFS('Expenses detail'!$M$2:$M$57,'Expenses detail'!$A$2:$A$57,10001132)),0)</f>
        <v>1038428</v>
      </c>
      <c r="J29" s="9"/>
      <c r="K29" s="9">
        <f t="shared" si="5"/>
        <v>164068</v>
      </c>
      <c r="O29" s="65">
        <f t="shared" si="2"/>
        <v>0.86356046090797811</v>
      </c>
      <c r="P29" s="65">
        <v>0.92</v>
      </c>
      <c r="Q29" s="74">
        <f t="shared" si="3"/>
        <v>5.6439539092021929E-2</v>
      </c>
      <c r="R29" s="66">
        <f t="shared" si="4"/>
        <v>67868.320000000007</v>
      </c>
    </row>
    <row r="30" spans="2:18" x14ac:dyDescent="0.25">
      <c r="B30" s="24" t="s">
        <v>476</v>
      </c>
      <c r="C30" s="9">
        <f>ROUND(SUMIFS('Expenses detail'!$F$2:$F$57,'Expenses detail'!$A$2:$A$57,10001134),0)</f>
        <v>2400</v>
      </c>
      <c r="D30" s="9"/>
      <c r="E30" s="9">
        <f t="shared" si="0"/>
        <v>-1943</v>
      </c>
      <c r="F30" s="9"/>
      <c r="G30" s="9">
        <f>ROUND(SUMIFS('Expenses detail'!$G$2:$G$57,'Expenses detail'!$A$2:$A$57,10001134),0)</f>
        <v>457</v>
      </c>
      <c r="H30" s="9"/>
      <c r="I30" s="9">
        <f>ROUND(SUMIFS('Expenses detail'!$M$2:$M$57,'Expenses detail'!$A$2:$A$57,10001134),0)</f>
        <v>1142</v>
      </c>
      <c r="J30" s="9"/>
      <c r="K30" s="9">
        <f t="shared" si="5"/>
        <v>-685</v>
      </c>
      <c r="O30" s="65">
        <f t="shared" si="2"/>
        <v>2.4989059080962801</v>
      </c>
      <c r="P30" s="65">
        <v>0.92</v>
      </c>
      <c r="Q30" s="74">
        <f t="shared" si="3"/>
        <v>-1.5789059080962802</v>
      </c>
      <c r="R30" s="66">
        <f t="shared" si="4"/>
        <v>-3789.3741794310722</v>
      </c>
    </row>
    <row r="31" spans="2:18" x14ac:dyDescent="0.25">
      <c r="B31" t="s">
        <v>120</v>
      </c>
      <c r="C31" s="9">
        <f>ROUND((SUMIFS('Expenses detail'!$F$2:$F$57,'Expenses detail'!$A$2:$A$57,10001144))+(SUMIFS('Expenses detail'!$F$2:$F$57,'Expenses detail'!$A$2:$A$57,10001143)),0)</f>
        <v>1341324</v>
      </c>
      <c r="D31" s="9"/>
      <c r="E31" s="9">
        <f t="shared" si="0"/>
        <v>0</v>
      </c>
      <c r="F31" s="9"/>
      <c r="G31" s="9">
        <f>ROUND((SUMIFS('Expenses detail'!$G$2:$G$57,'Expenses detail'!$A$2:$A$57,10001143))+(SUMIFS('Expenses detail'!$G$2:$G$57,'Expenses detail'!$A$2:$A$57,10001144)),0)</f>
        <v>1341324</v>
      </c>
      <c r="H31" s="9"/>
      <c r="I31" s="9">
        <f>ROUND((SUMIFS('Expenses detail'!$M$2:$M$57,'Expenses detail'!$A$2:$A$57,10001143))+(SUMIFS('Expenses detail'!$M$2:$M$57,'Expenses detail'!$A$2:$A$57,10001144)),0)</f>
        <v>1109677</v>
      </c>
      <c r="J31" s="9"/>
      <c r="K31" s="9">
        <f t="shared" si="5"/>
        <v>231647</v>
      </c>
      <c r="O31" s="65">
        <f t="shared" si="2"/>
        <v>0.8272997426423444</v>
      </c>
      <c r="P31" s="65">
        <v>0.92</v>
      </c>
      <c r="Q31" s="74">
        <f t="shared" si="3"/>
        <v>9.2700257357655635E-2</v>
      </c>
      <c r="R31" s="66">
        <f t="shared" si="4"/>
        <v>124341.08000000009</v>
      </c>
    </row>
    <row r="32" spans="2:18" x14ac:dyDescent="0.25">
      <c r="B32" t="s">
        <v>121</v>
      </c>
      <c r="C32" s="9">
        <f>ROUND((SUMIFS('Expenses detail'!$F$2:$F$57,'Expenses detail'!$A$2:$A$57,10001150))+(SUMIFS('Expenses detail'!$F$2:$F$57,'Expenses detail'!$A$2:$A$57,10001152)),0)</f>
        <v>7900628</v>
      </c>
      <c r="D32" s="9"/>
      <c r="E32" s="9">
        <f t="shared" si="0"/>
        <v>-1000</v>
      </c>
      <c r="F32" s="9"/>
      <c r="G32" s="9">
        <f>ROUND((SUMIFS('Expenses detail'!$G$2:$G$57,'Expenses detail'!$A$2:$A$57,10001150))+(SUMIFS('Expenses detail'!$G$2:$G$57,'Expenses detail'!$A$2:$A$57,10001152)),0)</f>
        <v>7899628</v>
      </c>
      <c r="H32" s="9"/>
      <c r="I32" s="9">
        <f>ROUND((SUMIFS('Expenses detail'!$M$2:$M$57,'Expenses detail'!$A$2:$A$57,10001150))+(SUMIFS('Expenses detail'!$M$2:$M$57,'Expenses detail'!$A$2:$A$57,10001152)),0)</f>
        <v>7168233</v>
      </c>
      <c r="J32" s="9"/>
      <c r="K32" s="9">
        <f t="shared" ref="K32" si="6">+G32-I32</f>
        <v>731395</v>
      </c>
      <c r="O32" s="65">
        <f t="shared" si="2"/>
        <v>0.90741399468430661</v>
      </c>
      <c r="P32" s="65">
        <v>0.92</v>
      </c>
      <c r="Q32" s="74">
        <f t="shared" si="3"/>
        <v>1.2586005315693427E-2</v>
      </c>
      <c r="R32" s="66">
        <f t="shared" si="4"/>
        <v>99437.346005316329</v>
      </c>
    </row>
    <row r="33" spans="1:18" x14ac:dyDescent="0.25">
      <c r="B33" t="s">
        <v>122</v>
      </c>
      <c r="C33" s="9">
        <f>ROUND(SUMIFS('Expenses detail'!$F$2:$F$57,'Expenses detail'!$A$2:$A$57,10001154),0)</f>
        <v>697715</v>
      </c>
      <c r="D33" s="9"/>
      <c r="E33" s="9">
        <f t="shared" si="0"/>
        <v>0</v>
      </c>
      <c r="F33" s="9"/>
      <c r="G33" s="9">
        <f>ROUND(SUMIFS('Expenses detail'!$G$2:$G$57,'Expenses detail'!$A$2:$A$57,10001154),0)</f>
        <v>697715</v>
      </c>
      <c r="H33" s="9"/>
      <c r="I33" s="9">
        <f>ROUND(SUMIFS('Expenses detail'!$M$2:$M$57,'Expenses detail'!$A$2:$A$57,10001154),0)</f>
        <v>521046</v>
      </c>
      <c r="J33" s="9"/>
      <c r="K33" s="9">
        <f t="shared" ref="K33:K36" si="7">+G33-I33</f>
        <v>176669</v>
      </c>
      <c r="O33" s="65">
        <f t="shared" si="2"/>
        <v>0.74678916176375743</v>
      </c>
      <c r="P33" s="65">
        <v>0.92</v>
      </c>
      <c r="Q33" s="74">
        <f t="shared" si="3"/>
        <v>0.17321083823624261</v>
      </c>
      <c r="R33" s="66">
        <f t="shared" si="4"/>
        <v>120851.80000000002</v>
      </c>
    </row>
    <row r="34" spans="1:18" x14ac:dyDescent="0.25">
      <c r="B34" t="s">
        <v>123</v>
      </c>
      <c r="C34" s="9">
        <f>ROUND(SUMIFS('Expenses detail'!$F$2:$F$57,'Expenses detail'!$A$2:$A$57,10001160),0)</f>
        <v>993120</v>
      </c>
      <c r="D34" s="9"/>
      <c r="E34" s="9">
        <f t="shared" si="0"/>
        <v>-7650</v>
      </c>
      <c r="F34" s="9"/>
      <c r="G34" s="9">
        <f>ROUND(SUMIFS('Expenses detail'!$G$2:$G$57,'Expenses detail'!$A$2:$A$57,10001160),0)</f>
        <v>985470</v>
      </c>
      <c r="H34" s="9"/>
      <c r="I34" s="9">
        <f>ROUND(SUMIFS('Expenses detail'!$M$2:$M$57,'Expenses detail'!$A$2:$A$57,10001160),0)</f>
        <v>874564</v>
      </c>
      <c r="J34" s="9"/>
      <c r="K34" s="9">
        <f t="shared" si="7"/>
        <v>110906</v>
      </c>
      <c r="O34" s="65">
        <f t="shared" si="2"/>
        <v>0.88745877601550527</v>
      </c>
      <c r="P34" s="65">
        <v>0.92</v>
      </c>
      <c r="Q34" s="74">
        <f t="shared" si="3"/>
        <v>3.2541223984494771E-2</v>
      </c>
      <c r="R34" s="66">
        <f t="shared" si="4"/>
        <v>32317.340363481446</v>
      </c>
    </row>
    <row r="35" spans="1:18" x14ac:dyDescent="0.25">
      <c r="B35" t="s">
        <v>580</v>
      </c>
      <c r="C35" s="9">
        <f>ROUND(SUMIFS('Expenses detail'!$F$2:$F$57,'Expenses detail'!$A$2:$A$57,10001162),0)</f>
        <v>0</v>
      </c>
      <c r="D35" s="9"/>
      <c r="E35" s="9">
        <f t="shared" ref="E35" si="8">+G35-C35</f>
        <v>0</v>
      </c>
      <c r="F35" s="9"/>
      <c r="G35" s="9">
        <f>ROUND(SUMIFS('Expenses detail'!$G$2:$G$57,'Expenses detail'!$A$2:$A$57,10001162),0)</f>
        <v>0</v>
      </c>
      <c r="H35" s="9"/>
      <c r="I35" s="9">
        <f>ROUND(SUMIFS('Expenses detail'!$M$2:$M$57,'Expenses detail'!$A$2:$A$57,10001162),0)</f>
        <v>137</v>
      </c>
      <c r="J35" s="9"/>
      <c r="K35" s="9">
        <f t="shared" si="7"/>
        <v>-137</v>
      </c>
      <c r="O35" s="65"/>
      <c r="P35" s="65"/>
      <c r="Q35" s="74"/>
      <c r="R35" s="66"/>
    </row>
    <row r="36" spans="1:18" x14ac:dyDescent="0.25">
      <c r="B36" t="s">
        <v>124</v>
      </c>
      <c r="C36" s="9">
        <f>ROUND((SUMIFS('Expenses detail'!$F$2:$F$57,'Expenses detail'!$A$2:$A$57,10001198))+(SUMIFS('Expenses detail'!$F$2:$F$57,'Expenses detail'!$A$2:$A$57,10001199)+(SUMIFS('Expenses detail'!$F$2:$F$57,'Expenses detail'!$A$2:$A$57,10001999))),0)</f>
        <v>17984845</v>
      </c>
      <c r="D36" s="9"/>
      <c r="E36" s="9">
        <f t="shared" si="0"/>
        <v>23020036</v>
      </c>
      <c r="F36" s="9"/>
      <c r="G36" s="9">
        <f>ROUND((SUMIFS('Expenses detail'!$G$2:$G$57,'Expenses detail'!$A$2:$A$57,10001198))+(SUMIFS('Expenses detail'!$G$2:$G$57,'Expenses detail'!$A$2:$A$57,10001199)+(SUMIFS('Expenses detail'!$G$2:$G$57,'Expenses detail'!$A$2:$A$57,10001999))),0)</f>
        <v>41004881</v>
      </c>
      <c r="H36" s="9"/>
      <c r="I36" s="9">
        <f>ROUND((SUMIFS('Expenses detail'!$M$2:$M$57,'Expenses detail'!$A$2:$A$57,10001198))+(SUMIFS('Expenses detail'!$M$2:$M$57,'Expenses detail'!$A$2:$A$57,10001199)+(SUMIFS('Expenses detail'!$M$2:$M$57,'Expenses detail'!$A$2:$A$57,10001999))),0)</f>
        <v>38151889</v>
      </c>
      <c r="J36" s="9"/>
      <c r="K36" s="9">
        <f t="shared" si="7"/>
        <v>2852992</v>
      </c>
      <c r="O36" s="65">
        <f t="shared" si="2"/>
        <v>0.9304231123119221</v>
      </c>
      <c r="P36" s="65">
        <v>0.92</v>
      </c>
      <c r="Q36" s="74">
        <f t="shared" si="3"/>
        <v>-1.0423112311922056E-2</v>
      </c>
      <c r="R36" s="66">
        <f t="shared" si="4"/>
        <v>-187458.05934750981</v>
      </c>
    </row>
    <row r="37" spans="1:18" x14ac:dyDescent="0.25">
      <c r="B37" s="22" t="s">
        <v>455</v>
      </c>
      <c r="C37" s="11">
        <f>SUM(C10:C36)</f>
        <v>56624168</v>
      </c>
      <c r="D37" s="15"/>
      <c r="E37" s="11">
        <f>SUM(E10:E36)</f>
        <v>30174081</v>
      </c>
      <c r="F37" s="9"/>
      <c r="G37" s="11">
        <f>SUM(G10:G36)</f>
        <v>86798249</v>
      </c>
      <c r="H37" s="9"/>
      <c r="I37" s="11">
        <f>SUM(I10:I36)</f>
        <v>79273874</v>
      </c>
      <c r="J37" s="9"/>
      <c r="K37" s="11">
        <f>SUM(K10:K36)</f>
        <v>7524375</v>
      </c>
      <c r="M37" s="7">
        <f>+I37/G37</f>
        <v>0.91331190333113743</v>
      </c>
      <c r="N37" s="7">
        <v>0.58330000000000004</v>
      </c>
      <c r="O37" s="65"/>
      <c r="P37" s="3"/>
    </row>
    <row r="38" spans="1:18" x14ac:dyDescent="0.25">
      <c r="C38" s="9"/>
      <c r="D38" s="9"/>
      <c r="E38" s="9"/>
      <c r="F38" s="9"/>
      <c r="G38" s="9"/>
      <c r="H38" s="9"/>
      <c r="I38" s="9"/>
      <c r="J38" s="9"/>
      <c r="K38" s="9"/>
      <c r="O38" s="65"/>
      <c r="P38" s="3"/>
    </row>
    <row r="39" spans="1:18" x14ac:dyDescent="0.25">
      <c r="A39" t="s">
        <v>126</v>
      </c>
      <c r="C39" s="9"/>
      <c r="D39" s="9"/>
      <c r="E39" s="9"/>
      <c r="F39" s="9"/>
      <c r="G39" s="9"/>
      <c r="H39" s="9"/>
      <c r="I39" s="9"/>
      <c r="J39" s="9"/>
      <c r="K39" s="9"/>
      <c r="O39" s="65"/>
      <c r="P39" s="3"/>
    </row>
    <row r="40" spans="1:18" x14ac:dyDescent="0.25">
      <c r="B40" t="s">
        <v>131</v>
      </c>
      <c r="C40" s="9">
        <f>ROUND((SUMIFS('Expenses detail'!$F$2:$F$57,'Expenses detail'!$A$2:$A$57,10001200))+(SUMIFS('Expenses detail'!$F$2:$F$57,'Expenses detail'!$A$2:$A$57,10001201)+(SUMIFS('Expenses detail'!$F$2:$F$57,'Expenses detail'!$A$2:$A$57,10001202))+(SUMIFS('Expenses detail'!$F$2:$F$57,'Expenses detail'!$A$2:$A$57,10001203))+(SUMIFS('Expenses detail'!$F$2:$F$57,'Expenses detail'!$A$2:$A$57,10001204))+(SUMIFS('Expenses detail'!$F$2:$F$57,'Expenses detail'!$A$2:$A$57,10001205)))+(SUMIFS('Expenses detail'!$F$2:$F$57,'Expenses detail'!$A$2:$A$57,10001220)+(SUMIFS('Expenses detail'!$F$2:$F$57,'Expenses detail'!$A$2:$A$57,10001210)+(SUMIFS('Expenses detail'!$F$2:$F$57,'Expenses detail'!$A$2:$A$57,10001240)))),0)</f>
        <v>29296336</v>
      </c>
      <c r="D40" s="9"/>
      <c r="E40" s="9">
        <f t="shared" ref="E40:E47" si="9">+G40-C40</f>
        <v>131943</v>
      </c>
      <c r="F40" s="9"/>
      <c r="G40" s="9">
        <f>ROUND((SUMIFS('Expenses detail'!$G$2:$G$57,'Expenses detail'!$A$2:$A$57,10001200))+(SUMIFS('Expenses detail'!$G$2:$G$57,'Expenses detail'!$A$2:$A$57,10001201)+(SUMIFS('Expenses detail'!$G$2:$G$57,'Expenses detail'!$A$2:$A$57,10001202))+(SUMIFS('Expenses detail'!$G$2:$G$57,'Expenses detail'!$A$2:$A$57,10001203))+(SUMIFS('Expenses detail'!$G$2:$G$57,'Expenses detail'!$A$2:$A$57,10001204))+(SUMIFS('Expenses detail'!$G$2:$G$57,'Expenses detail'!$A$2:$A$57,10001205)))+(SUMIFS('Expenses detail'!$G$2:$G$57,'Expenses detail'!$A$2:$A$57,10001220)+(SUMIFS('Expenses detail'!$G$2:$G$57,'Expenses detail'!$A$2:$A$57,10001210)+(SUMIFS('Expenses detail'!$G$2:$G$57,'Expenses detail'!$A$2:$A$57,10001240)))),0)</f>
        <v>29428279</v>
      </c>
      <c r="H40" s="9"/>
      <c r="I40" s="9">
        <f>ROUND((SUMIFS('Expenses detail'!$M$2:$M$57,'Expenses detail'!$A$2:$A$57,10001200))+(SUMIFS('Expenses detail'!$M$2:$M$57,'Expenses detail'!$A$2:$A$57,10001201)+(SUMIFS('Expenses detail'!$M$2:$M$57,'Expenses detail'!$A$2:$A$57,10001202))+(SUMIFS('Expenses detail'!$M$2:$M$57,'Expenses detail'!$A$2:$A$57,10001203))+(SUMIFS('Expenses detail'!$M$2:$M$57,'Expenses detail'!$A$2:$A$57,10001204))+(SUMIFS('Expenses detail'!$M$2:$M$57,'Expenses detail'!$A$2:$A$57,10001205)))+(SUMIFS('Expenses detail'!$M$2:$M$57,'Expenses detail'!$A$2:$A$57,10001204))+(SUMIFS('Expenses detail'!$M$2:$M$57,'Expenses detail'!$A$2:$A$57,10001210))+(SUMIFS('Expenses detail'!$M$2:$M$57,'Expenses detail'!$A$2:$A$57,10001220)+(SUMIFS('Expenses detail'!$M$2:$M$57,'Expenses detail'!$A$2:$A$57,10001240))),0)</f>
        <v>29273257</v>
      </c>
      <c r="J40" s="9"/>
      <c r="K40" s="9">
        <f t="shared" ref="K40:K42" si="10">+G40-I40</f>
        <v>155022</v>
      </c>
      <c r="O40" s="65">
        <f t="shared" si="2"/>
        <v>0.99473220979045363</v>
      </c>
      <c r="P40" s="65">
        <v>0.92</v>
      </c>
      <c r="Q40" s="74">
        <f t="shared" ref="Q40:Q47" si="11">+P40-O40</f>
        <v>-7.4732209790453585E-2</v>
      </c>
      <c r="R40" s="66">
        <f t="shared" ref="R40:R47" si="12">+Q40*C40</f>
        <v>-2189379.9280436179</v>
      </c>
    </row>
    <row r="41" spans="1:18" hidden="1" x14ac:dyDescent="0.25">
      <c r="B41" t="s">
        <v>513</v>
      </c>
      <c r="C41" s="9">
        <f>ROUND((SUMIFS('Expenses detail'!$F$2:$F$57,'Expenses detail'!$A$2:$A$57,10001211))+(SUMIFS('Expenses detail'!$F$2:$F$57,'Expenses detail'!$A$2:$A$57,10001212)),0)</f>
        <v>0</v>
      </c>
      <c r="D41" s="9"/>
      <c r="E41" s="9">
        <f t="shared" si="9"/>
        <v>0</v>
      </c>
      <c r="F41" s="9"/>
      <c r="G41" s="9">
        <f>ROUND(+(SUMIFS('Expenses detail'!$G$2:$G$57,'Expenses detail'!$A$2:$A$57,10001211))+(SUMIFS('Expenses detail'!$G$2:$G$57,'Expenses detail'!$A$2:$A$57,10001212)),0)</f>
        <v>0</v>
      </c>
      <c r="H41" s="9"/>
      <c r="I41" s="9">
        <f>ROUND((SUMIFS('Expenses detail'!$M$2:$M$57,'Expenses detail'!$A$2:$A$57,10001211))+(SUMIFS('Expenses detail'!$M$2:$M$57,'Expenses detail'!$A$2:$A$57,10001212)),0)</f>
        <v>0</v>
      </c>
      <c r="J41" s="9"/>
      <c r="K41" s="9">
        <f t="shared" si="10"/>
        <v>0</v>
      </c>
      <c r="O41" s="65"/>
      <c r="P41" s="65">
        <v>0.92</v>
      </c>
      <c r="Q41" s="74">
        <f t="shared" si="11"/>
        <v>0.92</v>
      </c>
      <c r="R41" s="66">
        <f t="shared" si="12"/>
        <v>0</v>
      </c>
    </row>
    <row r="42" spans="1:18" x14ac:dyDescent="0.25">
      <c r="B42" t="s">
        <v>149</v>
      </c>
      <c r="C42" s="9">
        <f>ROUND(SUMIFS('Expenses detail'!$F$2:$F$57,'Expenses detail'!$A$2:$A$57,10001230),0)</f>
        <v>11812985</v>
      </c>
      <c r="D42" s="9"/>
      <c r="E42" s="9">
        <f t="shared" si="9"/>
        <v>310878</v>
      </c>
      <c r="F42" s="9"/>
      <c r="G42" s="9">
        <f>ROUND(SUMIFS('Expenses detail'!$G$2:$G$57,'Expenses detail'!$A$2:$A$57,10001230),0)</f>
        <v>12123863</v>
      </c>
      <c r="H42" s="9"/>
      <c r="I42" s="9">
        <f>ROUND(SUMIFS('Expenses detail'!$M$2:$M$57,'Expenses detail'!$A$2:$A$57,10001230),0)</f>
        <v>11254425</v>
      </c>
      <c r="J42" s="9"/>
      <c r="K42" s="9">
        <f t="shared" si="10"/>
        <v>869438</v>
      </c>
      <c r="O42" s="65">
        <f t="shared" si="2"/>
        <v>0.92828704844322307</v>
      </c>
      <c r="P42" s="65">
        <v>0.92</v>
      </c>
      <c r="Q42" s="74">
        <f t="shared" si="11"/>
        <v>-8.2870484432230329E-3</v>
      </c>
      <c r="R42" s="66">
        <f t="shared" si="12"/>
        <v>-97894.778954067035</v>
      </c>
    </row>
    <row r="43" spans="1:18" x14ac:dyDescent="0.25">
      <c r="B43" t="s">
        <v>132</v>
      </c>
      <c r="C43" s="9">
        <f>ROUND(((SUMIFS('Expenses detail'!$F$2:$F$57,'Expenses detail'!$A$2:$A$57,10001241))+(SUMIFS('Expenses detail'!$F$2:$F$57,'Expenses detail'!$A$2:$A$57,10001243))),0)</f>
        <v>376889</v>
      </c>
      <c r="D43" s="9"/>
      <c r="E43" s="9">
        <f t="shared" si="9"/>
        <v>799530</v>
      </c>
      <c r="F43" s="9"/>
      <c r="G43" s="9">
        <f>ROUND((SUMIFS('Expenses detail'!$G$2:$G$57,'Expenses detail'!$A$2:$A$57,10001241)+(SUMIFS('Expenses detail'!$G$2:$G$57,'Expenses detail'!$A$2:$A$57,10001243))),0)</f>
        <v>1176419</v>
      </c>
      <c r="H43" s="9"/>
      <c r="I43" s="9">
        <f>ROUND((SUMIFS('Expenses detail'!$M$2:$M$57,'Expenses detail'!$A$2:$A$57,10001241)+(SUMIFS('Expenses detail'!$M$2:$M$57,'Expenses detail'!$A$2:$A$57,10001243))),0)</f>
        <v>1143023</v>
      </c>
      <c r="J43" s="9"/>
      <c r="K43" s="9">
        <f t="shared" ref="K43" si="13">+G43-I43</f>
        <v>33396</v>
      </c>
      <c r="O43" s="65">
        <f t="shared" si="2"/>
        <v>0.97161215519300526</v>
      </c>
      <c r="P43" s="65">
        <v>0.92</v>
      </c>
      <c r="Q43" s="74">
        <f t="shared" si="11"/>
        <v>-5.1612155193005216E-2</v>
      </c>
      <c r="R43" s="66">
        <f t="shared" si="12"/>
        <v>-19452.053558536543</v>
      </c>
    </row>
    <row r="44" spans="1:18" x14ac:dyDescent="0.25">
      <c r="B44" t="s">
        <v>133</v>
      </c>
      <c r="C44" s="9">
        <f>ROUND((SUMIFS('Expenses detail'!$F$2:$F$57,'Expenses detail'!$A$2:$A$57,10001250)),0)</f>
        <v>7445410</v>
      </c>
      <c r="D44" s="9"/>
      <c r="E44" s="9">
        <f t="shared" si="9"/>
        <v>0</v>
      </c>
      <c r="F44" s="9"/>
      <c r="G44" s="9">
        <f>ROUND((SUMIFS('Expenses detail'!$G$2:$G$57,'Expenses detail'!$A$2:$A$57,10001250)),0)</f>
        <v>7445410</v>
      </c>
      <c r="H44" s="9"/>
      <c r="I44" s="9">
        <f>ROUND((SUMIFS('Expenses detail'!$M$2:$M$57,'Expenses detail'!$A$2:$A$57,10001250)),0)</f>
        <v>6503583</v>
      </c>
      <c r="J44" s="9"/>
      <c r="K44" s="9">
        <f t="shared" ref="K44:K45" si="14">+G44-I44</f>
        <v>941827</v>
      </c>
      <c r="O44" s="65">
        <f t="shared" si="2"/>
        <v>0.8735023323094363</v>
      </c>
      <c r="P44" s="65">
        <v>0.92</v>
      </c>
      <c r="Q44" s="74">
        <f t="shared" si="11"/>
        <v>4.6497667690563738E-2</v>
      </c>
      <c r="R44" s="66">
        <f t="shared" si="12"/>
        <v>346194.20000000019</v>
      </c>
    </row>
    <row r="45" spans="1:18" x14ac:dyDescent="0.25">
      <c r="B45" t="s">
        <v>150</v>
      </c>
      <c r="C45" s="9">
        <f>ROUND((SUMIFS('Expenses detail'!$F$2:$F$57,'Expenses detail'!$A$2:$A$57,10001260))+(SUMIFS('Expenses detail'!$F$2:$F$57,'Expenses detail'!$A$2:$A$57,10001261)),0)</f>
        <v>1812675</v>
      </c>
      <c r="D45" s="9"/>
      <c r="E45" s="9">
        <f t="shared" si="9"/>
        <v>4043</v>
      </c>
      <c r="F45" s="9"/>
      <c r="G45" s="9">
        <f>ROUND((SUMIFS('Expenses detail'!$G$2:$G$57,'Expenses detail'!$A$2:$A$57,10001260))+(SUMIFS('Expenses detail'!$G$2:$G$57,'Expenses detail'!$A$2:$A$57,10001261)),0)</f>
        <v>1816718</v>
      </c>
      <c r="H45" s="9"/>
      <c r="I45" s="9">
        <f>ROUND((SUMIFS('Expenses detail'!$M$2:$M$57,'Expenses detail'!$A$2:$A$57,10001260))+(SUMIFS('Expenses detail'!$M$2:$M$57,'Expenses detail'!$A$2:$A$57,10001261)),0)</f>
        <v>1554563</v>
      </c>
      <c r="J45" s="9"/>
      <c r="K45" s="9">
        <f t="shared" si="14"/>
        <v>262155</v>
      </c>
      <c r="O45" s="65">
        <f t="shared" si="2"/>
        <v>0.85569857292105878</v>
      </c>
      <c r="P45" s="65">
        <v>0.92</v>
      </c>
      <c r="Q45" s="74">
        <f t="shared" si="11"/>
        <v>6.4301427078941265E-2</v>
      </c>
      <c r="R45" s="66">
        <f t="shared" si="12"/>
        <v>116557.58933031985</v>
      </c>
    </row>
    <row r="46" spans="1:18" x14ac:dyDescent="0.25">
      <c r="B46" s="24" t="s">
        <v>513</v>
      </c>
      <c r="C46" s="9"/>
      <c r="D46" s="9"/>
      <c r="E46" s="9"/>
      <c r="F46" s="9"/>
      <c r="G46" s="9"/>
      <c r="H46" s="9"/>
      <c r="I46" s="9">
        <v>327000</v>
      </c>
      <c r="J46" s="9"/>
      <c r="K46" s="9"/>
      <c r="O46" s="65"/>
      <c r="P46" s="65"/>
      <c r="Q46" s="74"/>
      <c r="R46" s="66"/>
    </row>
    <row r="47" spans="1:18" x14ac:dyDescent="0.25">
      <c r="B47" t="s">
        <v>134</v>
      </c>
      <c r="C47" s="9">
        <f>ROUND((SUMIFS('Expenses detail'!$F$2:$F$57,'Expenses detail'!$A$2:$A$57,10001270)),0)</f>
        <v>1265838</v>
      </c>
      <c r="D47" s="9"/>
      <c r="E47" s="9">
        <f t="shared" si="9"/>
        <v>46106</v>
      </c>
      <c r="F47" s="9"/>
      <c r="G47" s="9">
        <f>ROUND((SUMIFS('Expenses detail'!$G$2:$G$57,'Expenses detail'!$A$2:$A$57,10001270)),0)</f>
        <v>1311944</v>
      </c>
      <c r="H47" s="9"/>
      <c r="I47" s="9">
        <f>ROUND((SUMIFS('Expenses detail'!$M$2:$M$57,'Expenses detail'!$A$2:$A$57,10001270)),0)</f>
        <v>1295694</v>
      </c>
      <c r="J47" s="9"/>
      <c r="K47" s="9">
        <f t="shared" ref="K47" si="15">+G47-I47</f>
        <v>16250</v>
      </c>
      <c r="O47" s="65">
        <f t="shared" si="2"/>
        <v>0.98761380058904957</v>
      </c>
      <c r="P47" s="65">
        <v>0.92</v>
      </c>
      <c r="Q47" s="74">
        <f t="shared" si="11"/>
        <v>-6.7613800589049533E-2</v>
      </c>
      <c r="R47" s="66">
        <f t="shared" si="12"/>
        <v>-85588.11811004128</v>
      </c>
    </row>
    <row r="48" spans="1:18" x14ac:dyDescent="0.25">
      <c r="B48" s="22" t="s">
        <v>454</v>
      </c>
      <c r="C48" s="11">
        <f>SUM(C40:C47)</f>
        <v>52010133</v>
      </c>
      <c r="D48" s="15"/>
      <c r="E48" s="11">
        <f>SUM(E40:E47)</f>
        <v>1292500</v>
      </c>
      <c r="F48" s="9"/>
      <c r="G48" s="11">
        <f>SUM(G40:G47)</f>
        <v>53302633</v>
      </c>
      <c r="H48" s="9"/>
      <c r="I48" s="11">
        <f>SUM(I40:I47)</f>
        <v>51351545</v>
      </c>
      <c r="J48" s="9"/>
      <c r="K48" s="11">
        <f>SUM(K40:K47)</f>
        <v>2278088</v>
      </c>
      <c r="M48" s="7">
        <f>+I48/G48</f>
        <v>0.96339602961076987</v>
      </c>
      <c r="N48" s="7">
        <v>0.58330000000000004</v>
      </c>
      <c r="O48" s="65"/>
      <c r="P48" s="3"/>
    </row>
    <row r="49" spans="1:18" x14ac:dyDescent="0.25">
      <c r="C49" s="9"/>
      <c r="D49" s="9"/>
      <c r="E49" s="9"/>
      <c r="F49" s="9"/>
      <c r="G49" s="9"/>
      <c r="H49" s="9"/>
      <c r="I49" s="9"/>
      <c r="J49" s="9"/>
      <c r="K49" s="9"/>
      <c r="O49" s="65"/>
      <c r="P49" s="3"/>
    </row>
    <row r="50" spans="1:18" x14ac:dyDescent="0.25">
      <c r="A50" t="s">
        <v>151</v>
      </c>
      <c r="C50" s="9"/>
      <c r="D50" s="9"/>
      <c r="E50" s="9"/>
      <c r="F50" s="9"/>
      <c r="G50" s="9"/>
      <c r="H50" s="9"/>
      <c r="I50" s="9"/>
      <c r="J50" s="9"/>
      <c r="K50" s="9"/>
      <c r="O50" s="65"/>
      <c r="P50" s="3"/>
    </row>
    <row r="51" spans="1:18" x14ac:dyDescent="0.25">
      <c r="B51" t="s">
        <v>135</v>
      </c>
      <c r="C51" s="9">
        <f>ROUND((SUMIFS('Expenses detail'!$F$2:$F$57,'Expenses detail'!$A$2:$A$57,10001301))+(SUMIFS('Expenses detail'!$F$2:$F$57,'Expenses detail'!$A$2:$A$57,10001302)),0)</f>
        <v>4205931</v>
      </c>
      <c r="D51" s="9"/>
      <c r="E51" s="9">
        <f t="shared" ref="E51:E53" si="16">+G51-C51</f>
        <v>1015772</v>
      </c>
      <c r="F51" s="9"/>
      <c r="G51" s="9">
        <f>ROUND((SUMIFS('Expenses detail'!$G$2:$G$57,'Expenses detail'!$A$2:$A$57,10001301))+(SUMIFS('Expenses detail'!$G$2:$G$57,'Expenses detail'!$A$2:$A$57,10001302)),0)</f>
        <v>5221703</v>
      </c>
      <c r="H51" s="9"/>
      <c r="I51" s="9">
        <f>ROUND((SUMIFS('Expenses detail'!$M$2:$M$57,'Expenses detail'!$A$2:$A$57,10001301))+(SUMIFS('Expenses detail'!$M$2:$M$57,'Expenses detail'!$A$2:$A$57,10001302)),0)</f>
        <v>4387634</v>
      </c>
      <c r="J51" s="9"/>
      <c r="K51" s="9">
        <f t="shared" ref="K51" si="17">+G51-I51</f>
        <v>834069</v>
      </c>
      <c r="O51" s="65">
        <f t="shared" si="2"/>
        <v>0.84026877821277846</v>
      </c>
      <c r="P51" s="65">
        <v>0.92</v>
      </c>
      <c r="Q51" s="74">
        <f t="shared" ref="Q51:Q53" si="18">+P51-O51</f>
        <v>7.9731221787221584E-2</v>
      </c>
      <c r="R51" s="66">
        <f t="shared" ref="R51:R53" si="19">+Q51*C51</f>
        <v>335344.0173827507</v>
      </c>
    </row>
    <row r="52" spans="1:18" x14ac:dyDescent="0.25">
      <c r="B52" t="s">
        <v>547</v>
      </c>
      <c r="C52" s="9">
        <f>ROUND((SUMIFS('Expenses detail'!$F$2:$F$57,'Expenses detail'!$A$2:$A$57,10001330)),0)</f>
        <v>1023257</v>
      </c>
      <c r="D52" s="9"/>
      <c r="E52" s="9">
        <f t="shared" si="16"/>
        <v>-324298</v>
      </c>
      <c r="F52" s="9"/>
      <c r="G52" s="9">
        <f>ROUND((SUMIFS('Expenses detail'!$G$2:$G$57,'Expenses detail'!$A$2:$A$57,10001330)),0)</f>
        <v>698959</v>
      </c>
      <c r="H52" s="9"/>
      <c r="I52" s="9">
        <f>ROUND((SUMIFS('Expenses detail'!$M$2:$M$57,'Expenses detail'!$A$2:$A$57,10001330)),0)</f>
        <v>535197</v>
      </c>
      <c r="J52" s="9"/>
      <c r="K52" s="9">
        <f t="shared" ref="K52:K53" si="20">+G52-I52</f>
        <v>163762</v>
      </c>
      <c r="O52" s="65">
        <f t="shared" si="2"/>
        <v>0.76570585685283399</v>
      </c>
      <c r="P52" s="65">
        <v>0.92</v>
      </c>
      <c r="Q52" s="74">
        <f t="shared" si="18"/>
        <v>0.15429414314716605</v>
      </c>
      <c r="R52" s="66">
        <f t="shared" si="19"/>
        <v>157882.5620343397</v>
      </c>
    </row>
    <row r="53" spans="1:18" x14ac:dyDescent="0.25">
      <c r="B53" t="s">
        <v>136</v>
      </c>
      <c r="C53" s="9">
        <f>ROUND((SUMIFS('Expenses detail'!$F$2:$F$57,'Expenses detail'!$A$2:$A$57,10001310))+(SUMIFS('Expenses detail'!$F$2:$F$57,'Expenses detail'!$A$2:$A$57,10001311))+(SUMIFS('Expenses detail'!$F$2:$F$57,'Expenses detail'!$A$2:$A$57,10001312))+(SUMIFS('Expenses detail'!$F$2:$F$57,'Expenses detail'!$A$2:$A$57,10001320))+(SUMIFS('Expenses detail'!$F$2:$F$57,'Expenses detail'!$A$2:$A$57,10001321)),0)</f>
        <v>7173266</v>
      </c>
      <c r="D53" s="9"/>
      <c r="E53" s="9">
        <f t="shared" si="16"/>
        <v>191261</v>
      </c>
      <c r="F53" s="9"/>
      <c r="G53" s="9">
        <f>ROUND((SUMIFS('Expenses detail'!$G$2:$G$57,'Expenses detail'!$A$2:$A$57,10001310))+(SUMIFS('Expenses detail'!$G$2:$G$57,'Expenses detail'!$A$2:$A$57,10001311))+(SUMIFS('Expenses detail'!$G$2:$G$57,'Expenses detail'!$A$2:$A$57,10001312))+(SUMIFS('Expenses detail'!$G$2:$G$57,'Expenses detail'!$A$2:$A$57,10001320))+(SUMIFS('Expenses detail'!$G$2:$G$57,'Expenses detail'!$A$2:$A$57,10001321)),0)</f>
        <v>7364527</v>
      </c>
      <c r="H53" s="9"/>
      <c r="I53" s="9">
        <f>ROUND((SUMIFS('Expenses detail'!$M$2:$M$57,'Expenses detail'!$A$2:$A$57,10001310))+(SUMIFS('Expenses detail'!$M$2:$M$57,'Expenses detail'!$A$2:$A$57,10001311))+(SUMIFS('Expenses detail'!$M$2:$M$57,'Expenses detail'!$A$2:$A$57,10001312))+(SUMIFS('Expenses detail'!$M$2:$M$57,'Expenses detail'!$A$2:$A$57,10001320))+(SUMIFS('Expenses detail'!$M$2:$M$57,'Expenses detail'!$A$2:$A$57,10001321)),0)</f>
        <v>6656102</v>
      </c>
      <c r="J53" s="9"/>
      <c r="K53" s="9">
        <f t="shared" si="20"/>
        <v>708425</v>
      </c>
      <c r="O53" s="65">
        <f t="shared" si="2"/>
        <v>0.90380577055389977</v>
      </c>
      <c r="P53" s="65">
        <v>0.92</v>
      </c>
      <c r="Q53" s="74">
        <f t="shared" si="18"/>
        <v>1.6194229446100272E-2</v>
      </c>
      <c r="R53" s="66">
        <f t="shared" si="19"/>
        <v>116165.51548190991</v>
      </c>
    </row>
    <row r="54" spans="1:18" x14ac:dyDescent="0.25">
      <c r="B54" s="22" t="s">
        <v>456</v>
      </c>
      <c r="C54" s="11">
        <f>SUM(C51:C53)</f>
        <v>12402454</v>
      </c>
      <c r="D54" s="15"/>
      <c r="E54" s="11">
        <f>SUM(E51:E53)</f>
        <v>882735</v>
      </c>
      <c r="F54" s="9"/>
      <c r="G54" s="11">
        <f>SUM(G51:G53)</f>
        <v>13285189</v>
      </c>
      <c r="H54" s="9"/>
      <c r="I54" s="11">
        <f>SUM(I51:I53)</f>
        <v>11578933</v>
      </c>
      <c r="J54" s="9"/>
      <c r="K54" s="11">
        <f>SUM(K51:K53)</f>
        <v>1706256</v>
      </c>
      <c r="M54" s="7">
        <f>+G54/$G$90</f>
        <v>7.9307094016837373E-2</v>
      </c>
      <c r="N54" s="7">
        <f>+I54/G54</f>
        <v>0.87156705109727828</v>
      </c>
      <c r="O54" s="65"/>
      <c r="P54" s="3"/>
    </row>
    <row r="55" spans="1:18" x14ac:dyDescent="0.25">
      <c r="C55" s="9"/>
      <c r="D55" s="9"/>
      <c r="E55" s="9"/>
      <c r="F55" s="9"/>
      <c r="G55" s="9"/>
      <c r="H55" s="9"/>
      <c r="I55" s="9"/>
      <c r="J55" s="9"/>
      <c r="K55" s="9"/>
      <c r="O55" s="65"/>
      <c r="P55" s="3"/>
    </row>
    <row r="56" spans="1:18" x14ac:dyDescent="0.25">
      <c r="A56" t="s">
        <v>137</v>
      </c>
      <c r="C56" s="9"/>
      <c r="D56" s="9"/>
      <c r="E56" s="9"/>
      <c r="F56" s="9"/>
      <c r="G56" s="9"/>
      <c r="H56" s="9"/>
      <c r="I56" s="9"/>
      <c r="J56" s="9"/>
      <c r="K56" s="9"/>
      <c r="O56" s="65"/>
      <c r="P56" s="3"/>
    </row>
    <row r="57" spans="1:18" x14ac:dyDescent="0.25">
      <c r="B57" t="s">
        <v>138</v>
      </c>
      <c r="C57" s="9">
        <f>ROUND((SUMIFS('Expenses detail'!$F$2:$F$57,'Expenses detail'!$A$2:$A$57,10001400)),0)</f>
        <v>1901155</v>
      </c>
      <c r="D57" s="9"/>
      <c r="E57" s="9">
        <f t="shared" ref="E57:E58" si="21">+G57-C57</f>
        <v>0</v>
      </c>
      <c r="F57" s="9"/>
      <c r="G57" s="9">
        <f>ROUND((SUMIFS('Expenses detail'!$G$2:$G$57,'Expenses detail'!$A$2:$A$57,10001400)),0)</f>
        <v>1901155</v>
      </c>
      <c r="H57" s="9"/>
      <c r="I57" s="9">
        <f>ROUND((SUMIFS('Expenses detail'!$M$2:$M$57,'Expenses detail'!$A$2:$A$57,10001400)),0)</f>
        <v>1698287</v>
      </c>
      <c r="J57" s="9"/>
      <c r="K57" s="9">
        <f t="shared" ref="K57" si="22">+G57-I57</f>
        <v>202868</v>
      </c>
      <c r="O57" s="65">
        <f t="shared" si="2"/>
        <v>0.89329223550946657</v>
      </c>
      <c r="P57" s="65">
        <v>0.92</v>
      </c>
      <c r="Q57" s="74">
        <f t="shared" ref="Q57" si="23">+P57-O57</f>
        <v>2.670776449053347E-2</v>
      </c>
      <c r="R57" s="66">
        <f t="shared" ref="R57" si="24">+Q57*C57</f>
        <v>50775.600000000159</v>
      </c>
    </row>
    <row r="58" spans="1:18" x14ac:dyDescent="0.25">
      <c r="B58" t="s">
        <v>139</v>
      </c>
      <c r="C58" s="9">
        <f>ROUND(((SUMIFS('Expenses detail'!$F$2:$F$57,'Expenses detail'!$A$2:$A$57,10001498))+(SUMIFS('Expenses detail'!$F$2:$F$57,'Expenses detail'!$A$2:$A$57,14010011))+SUMIFS('Expenses detail'!$F$2:$F$57,'Expenses detail'!$A$2:$A$57,14020011)),0)</f>
        <v>0</v>
      </c>
      <c r="D58" s="9"/>
      <c r="E58" s="9">
        <f t="shared" si="21"/>
        <v>0</v>
      </c>
      <c r="F58" s="9"/>
      <c r="G58" s="9">
        <f>ROUND((SUMIFS('Expenses detail'!$G$2:$G$57,'Expenses detail'!$A$2:$A$57,10001498))+(SUMIFS('Expenses detail'!$G$2:$G$57,'Expenses detail'!$A$2:$A$57,14010011))+(SUMIFS('Expenses detail'!$G$2:$G$57,'Expenses detail'!$A$2:$A$57,14020011)),0)</f>
        <v>0</v>
      </c>
      <c r="H58" s="9"/>
      <c r="I58" s="9">
        <f>ROUND(((SUMIFS('Expenses detail'!$M$2:$M$57,'Expenses detail'!$A$2:$A$57,10001498))+SUMIFS('Expenses detail'!$M$2:$M$57,'Expenses detail'!$A$2:$A$57,14010011))+(SUMIFS('Expenses detail'!$M$2:$M$57,'Expenses detail'!$A$2:$A$57,14020011)),0)</f>
        <v>0</v>
      </c>
      <c r="J58" s="9"/>
      <c r="K58" s="9">
        <f t="shared" ref="K58" si="25">+G58-I58</f>
        <v>0</v>
      </c>
      <c r="O58" s="65" t="e">
        <f t="shared" si="2"/>
        <v>#DIV/0!</v>
      </c>
      <c r="P58" s="65">
        <v>0.92</v>
      </c>
      <c r="Q58" s="74"/>
      <c r="R58" s="66"/>
    </row>
    <row r="59" spans="1:18" x14ac:dyDescent="0.25">
      <c r="B59" s="22" t="s">
        <v>457</v>
      </c>
      <c r="C59" s="11">
        <f>SUM(C57:C58)</f>
        <v>1901155</v>
      </c>
      <c r="D59" s="15"/>
      <c r="E59" s="11">
        <f>SUM(E57:E58)</f>
        <v>0</v>
      </c>
      <c r="F59" s="9"/>
      <c r="G59" s="11">
        <f>SUM(G57:G58)</f>
        <v>1901155</v>
      </c>
      <c r="H59" s="9"/>
      <c r="I59" s="11">
        <f>SUM(I57:I58)</f>
        <v>1698287</v>
      </c>
      <c r="J59" s="9"/>
      <c r="K59" s="11">
        <f>SUM(K57:K58)</f>
        <v>202868</v>
      </c>
      <c r="M59" s="7">
        <f>+G59/$G$90</f>
        <v>1.134911052643515E-2</v>
      </c>
      <c r="N59" s="7">
        <f>+I59/G59</f>
        <v>0.89329223550946657</v>
      </c>
      <c r="O59" s="65"/>
      <c r="P59" s="3"/>
    </row>
    <row r="60" spans="1:18" x14ac:dyDescent="0.25">
      <c r="C60" s="9"/>
      <c r="D60" s="9"/>
      <c r="E60" s="9"/>
      <c r="F60" s="9"/>
      <c r="G60" s="9"/>
      <c r="H60" s="9"/>
      <c r="I60" s="9"/>
      <c r="J60" s="9"/>
      <c r="K60" s="9"/>
      <c r="O60" s="65"/>
      <c r="P60" s="3"/>
    </row>
    <row r="61" spans="1:18" x14ac:dyDescent="0.25">
      <c r="A61" t="s">
        <v>140</v>
      </c>
      <c r="C61" s="9"/>
      <c r="D61" s="9"/>
      <c r="E61" s="9"/>
      <c r="F61" s="9"/>
      <c r="G61" s="9"/>
      <c r="H61" s="9"/>
      <c r="I61" s="9"/>
      <c r="J61" s="9"/>
      <c r="K61" s="9"/>
      <c r="O61" s="65"/>
      <c r="P61" s="3"/>
    </row>
    <row r="62" spans="1:18" x14ac:dyDescent="0.25">
      <c r="B62" t="s">
        <v>141</v>
      </c>
      <c r="C62" s="9">
        <f>ROUND((SUMIFS('Expenses detail'!$F$2:$F$57,'Expenses detail'!$A$2:$A$57,10001500)),0)</f>
        <v>274476</v>
      </c>
      <c r="D62" s="9"/>
      <c r="E62" s="9">
        <f t="shared" ref="E62:E63" si="26">+G62-C62</f>
        <v>0</v>
      </c>
      <c r="F62" s="9"/>
      <c r="G62" s="9">
        <f>ROUND((SUMIFS('Expenses detail'!$G$2:$G$57,'Expenses detail'!$A$2:$A$57,10001500)),0)</f>
        <v>274476</v>
      </c>
      <c r="H62" s="9"/>
      <c r="I62" s="9">
        <f>ROUND((SUMIFS('Expenses detail'!$M$2:$M$57,'Expenses detail'!$A$2:$A$57,10001500)),0)</f>
        <v>201579</v>
      </c>
      <c r="J62" s="9"/>
      <c r="K62" s="9">
        <f t="shared" ref="K62" si="27">+G62-I62</f>
        <v>72897</v>
      </c>
      <c r="O62" s="65">
        <f t="shared" si="2"/>
        <v>0.73441393783063003</v>
      </c>
      <c r="P62" s="65">
        <v>0.92</v>
      </c>
      <c r="Q62" s="74">
        <f t="shared" ref="Q62" si="28">+P62-O62</f>
        <v>0.18558606216937001</v>
      </c>
      <c r="R62" s="66">
        <f t="shared" ref="R62" si="29">+Q62*C62</f>
        <v>50938.920000000006</v>
      </c>
    </row>
    <row r="63" spans="1:18" x14ac:dyDescent="0.25">
      <c r="B63" t="s">
        <v>142</v>
      </c>
      <c r="C63" s="9">
        <f>ROUND((SUMIFS('Expenses detail'!$F$2:$F$57,'Expenses detail'!$A$2:$A$57,10001598)),0)</f>
        <v>398000</v>
      </c>
      <c r="D63" s="9"/>
      <c r="E63" s="9">
        <f t="shared" si="26"/>
        <v>0</v>
      </c>
      <c r="F63" s="9"/>
      <c r="G63" s="9">
        <f>ROUND(SUMIFS('Expenses detail'!$G$2:$G$57,'Expenses detail'!$A$2:$A$57,10001598),0)</f>
        <v>398000</v>
      </c>
      <c r="H63" s="9"/>
      <c r="I63" s="9">
        <f>ROUND((SUMIFS('Expenses detail'!$M$2:$M$57,'Expenses detail'!$A$2:$A$57,10001598)),0)</f>
        <v>398000</v>
      </c>
      <c r="J63" s="9"/>
      <c r="K63" s="9">
        <f t="shared" ref="K63" si="30">+G63-I63</f>
        <v>0</v>
      </c>
      <c r="O63" s="65">
        <f t="shared" si="2"/>
        <v>1</v>
      </c>
      <c r="P63" s="65">
        <v>0.92</v>
      </c>
      <c r="Q63" s="74"/>
      <c r="R63" s="66"/>
    </row>
    <row r="64" spans="1:18" x14ac:dyDescent="0.25">
      <c r="B64" s="22" t="s">
        <v>458</v>
      </c>
      <c r="C64" s="11">
        <f>SUM(C62:C63)</f>
        <v>672476</v>
      </c>
      <c r="D64" s="15"/>
      <c r="E64" s="11">
        <f>SUM(E62:E63)</f>
        <v>0</v>
      </c>
      <c r="F64" s="9"/>
      <c r="G64" s="11">
        <f>SUM(G62:G63)</f>
        <v>672476</v>
      </c>
      <c r="H64" s="9"/>
      <c r="I64" s="11">
        <f>SUM(I62:I63)</f>
        <v>599579</v>
      </c>
      <c r="J64" s="9"/>
      <c r="K64" s="11">
        <f>SUM(K62:K63)</f>
        <v>72897</v>
      </c>
      <c r="M64" s="7">
        <f>+G64/$G$90</f>
        <v>4.014404112434285E-3</v>
      </c>
      <c r="N64" s="7">
        <f>+I64/G64</f>
        <v>0.89159910539558285</v>
      </c>
      <c r="O64" s="65"/>
      <c r="P64" s="3"/>
    </row>
    <row r="65" spans="1:18" x14ac:dyDescent="0.25">
      <c r="B65" s="22"/>
      <c r="C65" s="15"/>
      <c r="D65" s="15"/>
      <c r="E65" s="15"/>
      <c r="F65" s="9"/>
      <c r="G65" s="15"/>
      <c r="H65" s="9"/>
      <c r="I65" s="15"/>
      <c r="J65" s="9"/>
      <c r="K65" s="15"/>
      <c r="O65" s="65"/>
      <c r="P65" s="3"/>
    </row>
    <row r="66" spans="1:18" x14ac:dyDescent="0.25">
      <c r="B66" s="22"/>
      <c r="C66" s="15"/>
      <c r="D66" s="15"/>
      <c r="E66" s="15"/>
      <c r="F66" s="9"/>
      <c r="G66" s="15"/>
      <c r="H66" s="9"/>
      <c r="I66" s="15"/>
      <c r="J66" s="9"/>
      <c r="K66" s="15"/>
      <c r="O66" s="65"/>
      <c r="P66" s="3"/>
    </row>
    <row r="67" spans="1:18" x14ac:dyDescent="0.25">
      <c r="B67" s="22"/>
      <c r="C67" s="15"/>
      <c r="D67" s="15"/>
      <c r="E67" s="15"/>
      <c r="F67" s="9"/>
      <c r="G67" s="15"/>
      <c r="H67" s="9"/>
      <c r="I67" s="15"/>
      <c r="J67" s="9"/>
      <c r="K67" s="15"/>
      <c r="O67" s="65"/>
      <c r="P67" s="3"/>
    </row>
    <row r="68" spans="1:18" x14ac:dyDescent="0.25">
      <c r="B68" s="22"/>
      <c r="C68" s="15"/>
      <c r="D68" s="15"/>
      <c r="E68" s="15"/>
      <c r="F68" s="9"/>
      <c r="G68" s="15"/>
      <c r="H68" s="9"/>
      <c r="I68" s="15"/>
      <c r="J68" s="9"/>
      <c r="K68" s="15"/>
      <c r="O68" s="65"/>
      <c r="P68" s="3"/>
    </row>
    <row r="69" spans="1:18" x14ac:dyDescent="0.25">
      <c r="B69" s="22"/>
      <c r="C69" s="15"/>
      <c r="D69" s="15"/>
      <c r="E69" s="15"/>
      <c r="F69" s="9"/>
      <c r="G69" s="15"/>
      <c r="H69" s="9"/>
      <c r="I69" s="15"/>
      <c r="J69" s="9"/>
      <c r="K69" s="15"/>
      <c r="O69" s="65"/>
      <c r="P69" s="3"/>
    </row>
    <row r="70" spans="1:18" x14ac:dyDescent="0.25">
      <c r="B70" s="22"/>
      <c r="C70" s="15"/>
      <c r="D70" s="15"/>
      <c r="E70" s="15"/>
      <c r="F70" s="9"/>
      <c r="G70" s="15"/>
      <c r="H70" s="9"/>
      <c r="I70" s="15"/>
      <c r="J70" s="9"/>
      <c r="K70" s="15"/>
      <c r="O70" s="65"/>
      <c r="P70" s="3"/>
    </row>
    <row r="71" spans="1:18" x14ac:dyDescent="0.25">
      <c r="A71" t="s">
        <v>459</v>
      </c>
      <c r="C71" s="9"/>
      <c r="D71" s="9"/>
      <c r="E71" s="9"/>
      <c r="F71" s="9"/>
      <c r="G71" s="9"/>
      <c r="H71" s="9"/>
      <c r="I71" s="9"/>
      <c r="J71" s="9"/>
      <c r="K71" s="9"/>
      <c r="O71" s="65"/>
      <c r="P71" s="3"/>
    </row>
    <row r="72" spans="1:18" x14ac:dyDescent="0.25">
      <c r="B72" t="s">
        <v>478</v>
      </c>
      <c r="C72" s="9">
        <f>ROUND((SUMIFS('Expenses detail'!$F$2:$F$57,'Expenses detail'!$A$2:$A$57,10001600))+(SUMIFS('Expenses detail'!$F$2:$F$57,'Expenses detail'!$A$2:$A$57,10001602))+(SUMIFS('Expenses detail'!$F$2:$F$57,'Expenses detail'!$A$2:$A$57,10001603))+(SUMIFS('Expenses detail'!$F$2:$F$57,'Expenses detail'!$A$2:$A$57,10001604))+(SUMIFS('Expenses detail'!$F$2:$F$57,'Expenses detail'!$A$2:$A$57,10001605))+(SUMIFS('Expenses detail'!$F$2:$F$57,'Expenses detail'!$A$2:$A$57,10000600))+(SUMIFS('Expenses detail'!$F$2:$F$57,'Expenses detail'!$A$2:$A$57,10000604))+(SUMIFS('Expenses detail'!$F$2:$F$57,'Expenses detail'!$A$2:$A$57,10001606))+(SUMIFS('Expenses detail'!$F$2:$F$57,'Expenses detail'!$A$2:$A$57,10001607)),0)</f>
        <v>6287336</v>
      </c>
      <c r="D72" s="9"/>
      <c r="E72" s="9">
        <f t="shared" ref="E72:E75" si="31">+G72-C72</f>
        <v>495298</v>
      </c>
      <c r="F72" s="9"/>
      <c r="G72" s="9">
        <f>ROUND((SUMIFS('Expenses detail'!$G$2:$G$57,'Expenses detail'!$A$2:$A$57,10001600))+(SUMIFS('Expenses detail'!$G$2:$G$57,'Expenses detail'!$A$2:$A$57,10001602))+(SUMIFS('Expenses detail'!$G$2:$G$57,'Expenses detail'!$A$2:$A$57,10001603))+(SUMIFS('Expenses detail'!$G$2:$G$57,'Expenses detail'!$A$2:$A$57,10001604))+(SUMIFS('Expenses detail'!$G$2:$G$57,'Expenses detail'!$A$2:$A$57,10001605))+(SUMIFS('Expenses detail'!$G$2:$G$57,'Expenses detail'!$A$2:$A$57,10001606))+(SUMIFS('Expenses detail'!$G$2:$G$57,'Expenses detail'!$A$2:$A$57,10000600))+(SUMIFS('Expenses detail'!$G$2:$G$57,'Expenses detail'!$A$2:$A$57,10000604))+(SUMIFS('Expenses detail'!$G$2:$G$57,'Expenses detail'!$A$2:$A$57,10001607)),0)</f>
        <v>6782634</v>
      </c>
      <c r="H72" s="9"/>
      <c r="I72" s="9">
        <f>ROUND((SUMIFS('Expenses detail'!$M$2:$M$57,'Expenses detail'!$A$2:$A$57,10001600))+(SUMIFS('Expenses detail'!$M$2:$M$57,'Expenses detail'!$A$2:$A$57,10001602))+(SUMIFS('Expenses detail'!$M$2:$M$57,'Expenses detail'!$A$2:$A$57,10001603))+(SUMIFS('Expenses detail'!$M$2:$M$57,'Expenses detail'!$A$2:$A$57,10001604))+(SUMIFS('Expenses detail'!$M$2:$M$57,'Expenses detail'!$A$2:$A$57,10001605))+(SUMIFS('Expenses detail'!$M$2:$M$57,'Expenses detail'!$A$2:$A$57,10000604))+(SUMIFS('Expenses detail'!$M$2:$M$57,'Expenses detail'!$A$2:$A$57,10000600))+(SUMIFS('Expenses detail'!$M$2:$M$57,'Expenses detail'!$A$2:$A$57,10001606))+(SUMIFS('Expenses detail'!$M$2:$M$57,'Expenses detail'!$A$2:$A$57,10001607)),0)+'[1]ACCOUNT DETAIL'!$F$809</f>
        <v>4585212</v>
      </c>
      <c r="J72" s="9"/>
      <c r="K72" s="9">
        <f t="shared" ref="K72:K75" si="32">+G72-I72</f>
        <v>2197422</v>
      </c>
      <c r="M72" s="3"/>
      <c r="O72" s="65">
        <f t="shared" si="2"/>
        <v>0.67602232407056018</v>
      </c>
      <c r="P72" s="65">
        <v>0.92</v>
      </c>
      <c r="Q72" s="74">
        <f t="shared" ref="Q72:Q73" si="33">+P72-O72</f>
        <v>0.24397767592943986</v>
      </c>
      <c r="R72" s="66">
        <f t="shared" ref="R72:R73" si="34">+Q72*C72</f>
        <v>1533969.6250675006</v>
      </c>
    </row>
    <row r="73" spans="1:18" x14ac:dyDescent="0.25">
      <c r="B73" t="s">
        <v>143</v>
      </c>
      <c r="C73" s="9">
        <f>ROUND((SUMIFS('Expenses detail'!$F$2:$F$57,'Expenses detail'!$A$2:$A$57,10001620))+(SUMIFS('Expenses detail'!$F$2:$F$57,'Expenses detail'!$A$2:$A$57,10001621))+(SUMIFS('Expenses detail'!$F$2:$F$57,'Expenses detail'!$A$2:$A$57,10001622))+(SUMIFS('Expenses detail'!$F$2:$F$57,'Expenses detail'!$A$2:$A$57,10001623))+(SUMIFS('Expenses detail'!$F$2:$F$57,'Expenses detail'!$A$2:$A$57,10001624))+(SUMIFS('Expenses detail'!$F$2:$F$57,'Expenses detail'!$A$2:$A$57,10001625))+(SUMIFS('Expenses detail'!$F$2:$F$57,'Expenses detail'!$A$2:$A$57,10001626))+(SUMIFS('Expenses detail'!$F$2:$F$57,'Expenses detail'!$A$2:$A$57,10001627))+(SUMIFS('Expenses detail'!$F$2:$F$57,'Expenses detail'!$A$2:$A$57,10001628)),0)</f>
        <v>4473435</v>
      </c>
      <c r="D73" s="9"/>
      <c r="E73" s="9">
        <f t="shared" si="31"/>
        <v>0</v>
      </c>
      <c r="F73" s="9"/>
      <c r="G73" s="9">
        <f>ROUND((SUMIFS('Expenses detail'!$G$2:$G$57,'Expenses detail'!$A$2:$A$57,10001620))+(SUMIFS('Expenses detail'!$G$2:$G$57,'Expenses detail'!$A$2:$A$57,10001621))+(SUMIFS('Expenses detail'!$G$2:$G$57,'Expenses detail'!$A$2:$A$57,10001622))+(SUMIFS('Expenses detail'!$G$2:$G$57,'Expenses detail'!$A$2:$A$57,10001623))+(SUMIFS('Expenses detail'!$G$2:$G$57,'Expenses detail'!$A$2:$A$57,10001624))+(SUMIFS('Expenses detail'!$G$2:$G$57,'Expenses detail'!$A$2:$A$57,10001625))+(SUMIFS('Expenses detail'!$G$2:$G$57,'Expenses detail'!$A$2:$A$57,10001626))+(SUMIFS('Expenses detail'!$G$2:$G$57,'Expenses detail'!$A$2:$A$57,10001627))+(SUMIFS('Expenses detail'!$G$2:$G$57,'Expenses detail'!$A$2:$A$57,10001628)),0)</f>
        <v>4473435</v>
      </c>
      <c r="H73" s="9"/>
      <c r="I73" s="9">
        <f>ROUND((SUMIFS('Expenses detail'!$M$2:$M$57,'Expenses detail'!$A$2:$A$57,10001620))+(SUMIFS('Expenses detail'!$M$2:$M$57,'Expenses detail'!$A$2:$A$57,10001621))+(SUMIFS('Expenses detail'!$M$2:$M$57,'Expenses detail'!$A$2:$A$57,10001622))+(SUMIFS('Expenses detail'!$M$2:$M$57,'Expenses detail'!$A$2:$A$57,10001623))+(SUMIFS('Expenses detail'!$M$2:$M$57,'Expenses detail'!$A$2:$A$57,10001624))+(SUMIFS('Expenses detail'!$M$2:$M$57,'Expenses detail'!$A$2:$A$57,10001625))+(SUMIFS('Expenses detail'!$M$2:$M$57,'Expenses detail'!$A$2:$A$57,10001626))+(SUMIFS('Expenses detail'!$M$2:$M$57,'Expenses detail'!$A$2:$A$57,10001627))+(SUMIFS('Expenses detail'!$M$2:$M$57,'Expenses detail'!$A$2:$A$57,10001628)),0)</f>
        <v>4393270</v>
      </c>
      <c r="J73" s="9"/>
      <c r="K73" s="9">
        <f t="shared" si="32"/>
        <v>80165</v>
      </c>
      <c r="O73" s="65">
        <f t="shared" si="2"/>
        <v>0.98207976644346007</v>
      </c>
      <c r="P73" s="65">
        <v>0.92</v>
      </c>
      <c r="Q73" s="74">
        <f t="shared" si="33"/>
        <v>-6.2079766443460027E-2</v>
      </c>
      <c r="R73" s="66">
        <f t="shared" si="34"/>
        <v>-277709.79999999958</v>
      </c>
    </row>
    <row r="74" spans="1:18" x14ac:dyDescent="0.25">
      <c r="B74" t="s">
        <v>581</v>
      </c>
      <c r="C74" s="9">
        <f>ROUND((SUMIFS('Expenses detail'!$F$2:$F$57,'Expenses detail'!$A$2:$A$57,10001610)),0)</f>
        <v>0</v>
      </c>
      <c r="D74" s="9"/>
      <c r="E74" s="9">
        <f t="shared" ref="E74" si="35">+G74-C74</f>
        <v>0</v>
      </c>
      <c r="F74" s="9"/>
      <c r="G74" s="9">
        <f>ROUND((SUMIFS('Expenses detail'!$G$2:$G$57,'Expenses detail'!$A$2:$A$57,10001610)),0)</f>
        <v>0</v>
      </c>
      <c r="H74" s="9"/>
      <c r="I74" s="9">
        <f>ROUND((SUMIFS('Expenses detail'!$M$2:$M$57,'Expenses detail'!$A$2:$A$57,10001610)),0)</f>
        <v>0</v>
      </c>
      <c r="J74" s="9"/>
      <c r="K74" s="9">
        <f t="shared" ref="K74" si="36">+G74-I74</f>
        <v>0</v>
      </c>
      <c r="O74" s="65"/>
      <c r="P74" s="65"/>
      <c r="Q74" s="74"/>
      <c r="R74" s="66"/>
    </row>
    <row r="75" spans="1:18" x14ac:dyDescent="0.25">
      <c r="B75" t="s">
        <v>144</v>
      </c>
      <c r="C75" s="9">
        <f>ROUND((SUMIFS('Expenses detail'!$F$2:$F$57,'Expenses detail'!$A$2:$A$57,16000011)),0)</f>
        <v>0</v>
      </c>
      <c r="D75" s="9"/>
      <c r="E75" s="9">
        <f t="shared" si="31"/>
        <v>300000</v>
      </c>
      <c r="F75" s="9"/>
      <c r="G75" s="9">
        <f>ROUND((SUMIFS('Expenses detail'!$G$2:$G$57,'Expenses detail'!$A$2:$A$57,16000011)+(SUMIFS('Expenses detail'!$G$2:$G$57,'Expenses detail'!$A$2:$A$57,10001698))),0)</f>
        <v>300000</v>
      </c>
      <c r="H75" s="9"/>
      <c r="I75" s="9">
        <f>ROUND((SUMIFS('Expenses detail'!$M$2:$M$57,'Expenses detail'!$A$2:$A$57,16000011)),0)</f>
        <v>0</v>
      </c>
      <c r="J75" s="9"/>
      <c r="K75" s="9">
        <f t="shared" si="32"/>
        <v>300000</v>
      </c>
      <c r="O75" s="65">
        <f t="shared" si="2"/>
        <v>0</v>
      </c>
      <c r="P75" s="65">
        <v>0.92</v>
      </c>
      <c r="Q75" s="74"/>
      <c r="R75" s="66"/>
    </row>
    <row r="76" spans="1:18" x14ac:dyDescent="0.25">
      <c r="B76" s="22" t="s">
        <v>460</v>
      </c>
      <c r="C76" s="11">
        <f>SUM(C72:C75)</f>
        <v>10760771</v>
      </c>
      <c r="D76" s="15"/>
      <c r="E76" s="11">
        <f>SUM(E72:E75)</f>
        <v>795298</v>
      </c>
      <c r="F76" s="9"/>
      <c r="G76" s="11">
        <f>SUM(G72:G75)</f>
        <v>11556069</v>
      </c>
      <c r="H76" s="9"/>
      <c r="I76" s="11">
        <f>SUM(I72:I75)</f>
        <v>8978482</v>
      </c>
      <c r="J76" s="9"/>
      <c r="K76" s="11">
        <f>SUM(K72:K75)</f>
        <v>2577587</v>
      </c>
      <c r="M76" s="7">
        <f>+G76/$G$90</f>
        <v>6.8984961421930835E-2</v>
      </c>
      <c r="N76" s="7">
        <f>+I76/G76</f>
        <v>0.77694949727281826</v>
      </c>
      <c r="O76" s="65">
        <f t="shared" si="2"/>
        <v>0.77694949727281826</v>
      </c>
      <c r="P76" s="3"/>
    </row>
    <row r="77" spans="1:18" x14ac:dyDescent="0.25">
      <c r="C77" s="9"/>
      <c r="D77" s="9"/>
      <c r="E77" s="9"/>
      <c r="F77" s="9"/>
      <c r="G77" s="9"/>
      <c r="H77" s="9"/>
      <c r="I77" s="9"/>
      <c r="J77" s="9"/>
      <c r="K77" s="9"/>
      <c r="O77" s="65"/>
      <c r="P77" s="3"/>
    </row>
    <row r="78" spans="1:18" x14ac:dyDescent="0.25">
      <c r="A78" t="s">
        <v>423</v>
      </c>
      <c r="C78" s="9"/>
      <c r="D78" s="9"/>
      <c r="E78" s="9"/>
      <c r="F78" s="9"/>
      <c r="G78" s="9"/>
      <c r="H78" s="9"/>
      <c r="I78" s="9"/>
      <c r="J78" s="9"/>
      <c r="K78" s="9"/>
      <c r="O78" s="65"/>
      <c r="P78" s="3"/>
    </row>
    <row r="79" spans="1:18" x14ac:dyDescent="0.25">
      <c r="B79" t="s">
        <v>516</v>
      </c>
      <c r="C79" s="12">
        <f>ROUND(SUMIFS('Expenses detail'!$F$2:$F$57,'Expenses detail'!$A$2:$A$57,10100011),0)</f>
        <v>0</v>
      </c>
      <c r="D79" s="15"/>
      <c r="E79" s="9">
        <f t="shared" ref="E79" si="37">+G79-C79</f>
        <v>0</v>
      </c>
      <c r="F79" s="9"/>
      <c r="G79" s="12">
        <f>ROUND(SUMIFS('Expenses detail'!$G$2:$G$57,'Expenses detail'!$A$2:$A$57,10100011),0)</f>
        <v>0</v>
      </c>
      <c r="H79" s="9"/>
      <c r="I79" s="12">
        <f>ROUND(SUMIFS('Expenses detail'!$M$2:$M$57,'Expenses detail'!$A$2:$A$57,10100011),0)</f>
        <v>0</v>
      </c>
      <c r="J79" s="9"/>
      <c r="K79" s="12">
        <f>+G79-I79</f>
        <v>0</v>
      </c>
      <c r="L79" s="17"/>
      <c r="M79" s="18"/>
      <c r="N79" s="18"/>
      <c r="O79" s="65" t="e">
        <f>+I79/G79</f>
        <v>#DIV/0!</v>
      </c>
      <c r="P79" s="3"/>
    </row>
    <row r="80" spans="1:18" x14ac:dyDescent="0.25">
      <c r="C80" s="11">
        <f>+C79</f>
        <v>0</v>
      </c>
      <c r="D80" s="15"/>
      <c r="E80" s="11">
        <f>+E79</f>
        <v>0</v>
      </c>
      <c r="F80" s="9"/>
      <c r="G80" s="11">
        <f>+G79</f>
        <v>0</v>
      </c>
      <c r="H80" s="9"/>
      <c r="I80" s="11">
        <f>+I79</f>
        <v>0</v>
      </c>
      <c r="J80" s="9"/>
      <c r="K80" s="11">
        <f>+K79</f>
        <v>0</v>
      </c>
      <c r="O80" s="65"/>
      <c r="P80" s="3"/>
    </row>
    <row r="81" spans="1:16" x14ac:dyDescent="0.25">
      <c r="C81" s="9"/>
      <c r="D81" s="9"/>
      <c r="E81" s="9"/>
      <c r="F81" s="9"/>
      <c r="G81" s="9"/>
      <c r="H81" s="9"/>
      <c r="I81" s="9"/>
      <c r="J81" s="9"/>
      <c r="K81" s="9"/>
      <c r="O81" s="65"/>
      <c r="P81" s="3"/>
    </row>
    <row r="82" spans="1:16" x14ac:dyDescent="0.25">
      <c r="A82" t="s">
        <v>567</v>
      </c>
      <c r="C82" s="12">
        <f>+C80+C76+C64+C59+C54+C48+C37</f>
        <v>134371157</v>
      </c>
      <c r="D82" s="15"/>
      <c r="E82" s="12">
        <f>+E80+E76+E64+E59+E54+E48+E37</f>
        <v>33144614</v>
      </c>
      <c r="F82" s="9"/>
      <c r="G82" s="12">
        <f>+G80+G76+G64+G59+G54+G48+G37</f>
        <v>167515771</v>
      </c>
      <c r="H82" s="9"/>
      <c r="I82" s="12">
        <f>+I80+I76+I64+I59+I54+I48+I37</f>
        <v>153480700</v>
      </c>
      <c r="J82" s="9"/>
      <c r="K82" s="12">
        <f>+K80+K76+K64+K59+K54+K48+K37</f>
        <v>14362071</v>
      </c>
      <c r="O82" s="65"/>
      <c r="P82" s="3"/>
    </row>
    <row r="83" spans="1:16" x14ac:dyDescent="0.25">
      <c r="C83" s="9"/>
      <c r="D83" s="9"/>
      <c r="E83" s="9"/>
      <c r="F83" s="9"/>
      <c r="G83" s="9"/>
      <c r="H83" s="9"/>
      <c r="I83" s="9"/>
      <c r="J83" s="9"/>
      <c r="K83" s="9"/>
      <c r="O83" s="65"/>
      <c r="P83" s="3"/>
    </row>
    <row r="84" spans="1:16" hidden="1" x14ac:dyDescent="0.25">
      <c r="A84" t="s">
        <v>566</v>
      </c>
      <c r="C84" s="9"/>
      <c r="D84" s="9"/>
      <c r="E84" s="9"/>
      <c r="F84" s="9"/>
      <c r="G84" s="9"/>
      <c r="H84" s="9"/>
      <c r="I84" s="9"/>
      <c r="J84" s="9"/>
      <c r="K84" s="9"/>
      <c r="O84" s="65"/>
      <c r="P84" s="3"/>
    </row>
    <row r="85" spans="1:16" ht="30" hidden="1" x14ac:dyDescent="0.25">
      <c r="B85" s="67" t="s">
        <v>517</v>
      </c>
      <c r="C85" s="9">
        <v>0</v>
      </c>
      <c r="D85" s="9"/>
      <c r="E85" s="9"/>
      <c r="F85" s="9"/>
      <c r="G85" s="9">
        <v>0</v>
      </c>
      <c r="H85" s="9"/>
      <c r="I85" s="9">
        <v>0</v>
      </c>
      <c r="J85" s="9"/>
      <c r="K85" s="15">
        <f t="shared" ref="K85:K87" si="38">+G85-I85</f>
        <v>0</v>
      </c>
      <c r="O85" s="65" t="e">
        <f t="shared" ref="O85" si="39">+I85/G85</f>
        <v>#DIV/0!</v>
      </c>
      <c r="P85" s="3"/>
    </row>
    <row r="86" spans="1:16" hidden="1" x14ac:dyDescent="0.25">
      <c r="B86" s="67" t="s">
        <v>564</v>
      </c>
      <c r="C86" s="9">
        <v>0</v>
      </c>
      <c r="D86" s="9"/>
      <c r="E86" s="9"/>
      <c r="F86" s="9"/>
      <c r="G86" s="9">
        <v>0</v>
      </c>
      <c r="H86" s="9"/>
      <c r="I86" s="9">
        <v>0</v>
      </c>
      <c r="J86" s="9"/>
      <c r="K86" s="15">
        <f t="shared" si="38"/>
        <v>0</v>
      </c>
      <c r="O86" s="65"/>
      <c r="P86" s="3"/>
    </row>
    <row r="87" spans="1:16" hidden="1" x14ac:dyDescent="0.25">
      <c r="B87" s="67" t="s">
        <v>565</v>
      </c>
      <c r="C87" s="9">
        <v>0</v>
      </c>
      <c r="D87" s="9"/>
      <c r="E87" s="9"/>
      <c r="F87" s="9"/>
      <c r="G87" s="9">
        <v>0</v>
      </c>
      <c r="H87" s="9"/>
      <c r="I87" s="9">
        <v>0</v>
      </c>
      <c r="J87" s="9"/>
      <c r="K87" s="15">
        <f t="shared" si="38"/>
        <v>0</v>
      </c>
      <c r="O87" s="65"/>
      <c r="P87" s="3"/>
    </row>
    <row r="88" spans="1:16" hidden="1" x14ac:dyDescent="0.25">
      <c r="C88" s="11">
        <f>SUM(C85:C87)</f>
        <v>0</v>
      </c>
      <c r="D88" s="15"/>
      <c r="E88" s="15"/>
      <c r="F88" s="9"/>
      <c r="G88" s="11">
        <f>SUM(G85:G87)</f>
        <v>0</v>
      </c>
      <c r="H88" s="9"/>
      <c r="I88" s="11">
        <f>SUM(I85:I87)</f>
        <v>0</v>
      </c>
      <c r="J88" s="9"/>
      <c r="K88" s="11">
        <f>SUM(K85:K87)</f>
        <v>0</v>
      </c>
      <c r="L88" s="17"/>
      <c r="M88" s="7">
        <f>+G88/$G$90</f>
        <v>0</v>
      </c>
      <c r="N88" s="7" t="e">
        <f>+I88/G88</f>
        <v>#DIV/0!</v>
      </c>
      <c r="O88" s="10"/>
      <c r="P88" s="3"/>
    </row>
    <row r="89" spans="1:16" hidden="1" x14ac:dyDescent="0.25">
      <c r="C89" s="15"/>
      <c r="D89" s="15"/>
      <c r="E89" s="15"/>
      <c r="F89" s="9"/>
      <c r="G89" s="15"/>
      <c r="H89" s="9"/>
      <c r="I89" s="15"/>
      <c r="J89" s="9"/>
      <c r="K89" s="15"/>
      <c r="L89" s="17"/>
      <c r="M89" s="18"/>
      <c r="N89" s="18"/>
      <c r="O89" s="10"/>
      <c r="P89" s="3"/>
    </row>
    <row r="90" spans="1:16" x14ac:dyDescent="0.25">
      <c r="B90" t="s">
        <v>549</v>
      </c>
      <c r="C90" s="12">
        <f>+C82+C88</f>
        <v>134371157</v>
      </c>
      <c r="D90" s="15"/>
      <c r="E90" s="15"/>
      <c r="F90" s="15"/>
      <c r="G90" s="12">
        <f>+G82+G88</f>
        <v>167515771</v>
      </c>
      <c r="H90" s="15"/>
      <c r="I90" s="12">
        <f>+I82+I88</f>
        <v>153480700</v>
      </c>
      <c r="J90" s="15"/>
      <c r="K90" s="12">
        <f>+K82+K88</f>
        <v>14362071</v>
      </c>
      <c r="M90" s="7">
        <f>+I90-I85</f>
        <v>153480700</v>
      </c>
      <c r="O90" s="10"/>
      <c r="P90" s="3"/>
    </row>
    <row r="91" spans="1:16" x14ac:dyDescent="0.25">
      <c r="C91" s="9"/>
      <c r="D91" s="9"/>
      <c r="E91" s="9"/>
      <c r="F91" s="9"/>
      <c r="G91" s="9"/>
      <c r="H91" s="9"/>
      <c r="I91" s="9"/>
      <c r="J91" s="9"/>
      <c r="K91" s="9"/>
    </row>
    <row r="92" spans="1:16" x14ac:dyDescent="0.25">
      <c r="B92" t="s">
        <v>550</v>
      </c>
      <c r="C92" s="12">
        <f>+'Revenues 24'!C102-Expenses!C90</f>
        <v>6786050</v>
      </c>
      <c r="D92" s="15"/>
      <c r="E92" s="15"/>
      <c r="F92" s="9"/>
      <c r="G92" s="12">
        <f>+'Revenues 24'!G102-Expenses!G90</f>
        <v>6683714</v>
      </c>
      <c r="H92" s="9"/>
      <c r="I92" s="12">
        <f>+'Revenues 24'!I102-Expenses!I90</f>
        <v>-15474827</v>
      </c>
      <c r="J92" s="9"/>
      <c r="K92" s="15">
        <f>+K84+K66+K61+K56+K50+K39</f>
        <v>0</v>
      </c>
    </row>
    <row r="93" spans="1:16" x14ac:dyDescent="0.25">
      <c r="C93" s="9"/>
      <c r="D93" s="9"/>
      <c r="E93" s="9"/>
      <c r="F93" s="9"/>
      <c r="G93" s="9"/>
      <c r="H93" s="9"/>
      <c r="I93" s="9"/>
      <c r="J93" s="9"/>
      <c r="K93" s="15"/>
    </row>
  </sheetData>
  <mergeCells count="3">
    <mergeCell ref="A1:K1"/>
    <mergeCell ref="A2:K2"/>
    <mergeCell ref="A3:K3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75B72-E87D-4E73-9750-DDA19A1FAC52}">
  <dimension ref="A1:Q69"/>
  <sheetViews>
    <sheetView view="pageBreakPreview" zoomScale="145" zoomScaleNormal="115" zoomScaleSheetLayoutView="145" workbookViewId="0">
      <selection activeCell="C15" sqref="C15"/>
    </sheetView>
  </sheetViews>
  <sheetFormatPr defaultRowHeight="15" x14ac:dyDescent="0.25"/>
  <cols>
    <col min="1" max="1" width="4.7109375" customWidth="1"/>
    <col min="2" max="2" width="38.140625" customWidth="1"/>
    <col min="3" max="3" width="14.5703125" bestFit="1" customWidth="1"/>
    <col min="4" max="4" width="1.7109375" customWidth="1"/>
    <col min="5" max="5" width="13.5703125" customWidth="1"/>
    <col min="6" max="6" width="1.7109375" customWidth="1"/>
    <col min="7" max="7" width="13.85546875" bestFit="1" customWidth="1"/>
    <col min="8" max="8" width="13.28515625" style="3" hidden="1" customWidth="1"/>
    <col min="9" max="9" width="1.85546875" style="7" customWidth="1"/>
    <col min="10" max="10" width="16.140625" style="7" customWidth="1"/>
    <col min="11" max="11" width="1.7109375" customWidth="1"/>
    <col min="12" max="12" width="11.7109375" bestFit="1" customWidth="1"/>
    <col min="14" max="14" width="16.7109375" bestFit="1" customWidth="1"/>
    <col min="16" max="16" width="14.42578125" customWidth="1"/>
  </cols>
  <sheetData>
    <row r="1" spans="1:16" x14ac:dyDescent="0.25">
      <c r="A1" s="102" t="s">
        <v>146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6" x14ac:dyDescent="0.25">
      <c r="A2" s="104" t="s">
        <v>556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6" x14ac:dyDescent="0.25">
      <c r="A3" s="104" t="str">
        <f>+'Revenues 24'!A3</f>
        <v>For the Period Ending June 30, 2023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6" x14ac:dyDescent="0.25">
      <c r="A4" s="102" t="s">
        <v>560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6" x14ac:dyDescent="0.25">
      <c r="E5" s="4"/>
      <c r="M5">
        <v>0.91669999999999996</v>
      </c>
    </row>
    <row r="6" spans="1:16" x14ac:dyDescent="0.25">
      <c r="C6" s="4" t="s">
        <v>145</v>
      </c>
      <c r="E6" s="4" t="s">
        <v>530</v>
      </c>
      <c r="G6" s="4" t="s">
        <v>551</v>
      </c>
      <c r="J6" s="76" t="s">
        <v>553</v>
      </c>
      <c r="L6" s="4">
        <v>2022</v>
      </c>
    </row>
    <row r="7" spans="1:16" x14ac:dyDescent="0.25">
      <c r="C7" s="4" t="s">
        <v>128</v>
      </c>
      <c r="E7" s="4" t="s">
        <v>531</v>
      </c>
      <c r="G7" s="4" t="s">
        <v>552</v>
      </c>
      <c r="J7" s="76" t="s">
        <v>554</v>
      </c>
      <c r="L7" s="4" t="s">
        <v>558</v>
      </c>
    </row>
    <row r="8" spans="1:16" x14ac:dyDescent="0.25">
      <c r="C8" s="5">
        <v>45107</v>
      </c>
      <c r="E8" s="5">
        <v>45077</v>
      </c>
      <c r="G8" s="6" t="s">
        <v>557</v>
      </c>
      <c r="J8" s="77" t="s">
        <v>555</v>
      </c>
      <c r="L8" s="6" t="s">
        <v>559</v>
      </c>
    </row>
    <row r="9" spans="1:16" x14ac:dyDescent="0.25">
      <c r="A9" t="s">
        <v>125</v>
      </c>
    </row>
    <row r="10" spans="1:16" x14ac:dyDescent="0.25">
      <c r="B10" t="s">
        <v>101</v>
      </c>
      <c r="C10" s="8">
        <v>2478889</v>
      </c>
      <c r="D10" s="8"/>
      <c r="E10" s="8">
        <v>2011840</v>
      </c>
      <c r="F10" s="8"/>
      <c r="G10" s="75">
        <f>+E10/C10</f>
        <v>0.81158938540612346</v>
      </c>
      <c r="J10" s="10">
        <f>($M$5-G10)*C10</f>
        <v>260557.5462999999</v>
      </c>
      <c r="L10" s="10">
        <v>37929</v>
      </c>
      <c r="M10" s="82">
        <f>+$M$5-G10</f>
        <v>0.10511061459387649</v>
      </c>
      <c r="N10" s="81">
        <f>+M10*C10</f>
        <v>260557.5462999999</v>
      </c>
      <c r="P10" s="81">
        <f>+J10-N10</f>
        <v>0</v>
      </c>
    </row>
    <row r="11" spans="1:16" x14ac:dyDescent="0.25">
      <c r="B11" t="s">
        <v>102</v>
      </c>
      <c r="C11" s="9">
        <v>1690279</v>
      </c>
      <c r="D11" s="9"/>
      <c r="E11" s="9">
        <v>1324626</v>
      </c>
      <c r="F11" s="9"/>
      <c r="G11" s="75">
        <f t="shared" ref="G11:G35" si="0">+E11/C11</f>
        <v>0.78367299126357248</v>
      </c>
      <c r="J11" s="10">
        <f t="shared" ref="J11:J35" si="1">($M$5-G11)*C11</f>
        <v>224852.75929999989</v>
      </c>
      <c r="L11" s="10">
        <v>263545</v>
      </c>
      <c r="M11" s="82">
        <f t="shared" ref="M11:M68" si="2">+$M$5-G11</f>
        <v>0.13302700873642748</v>
      </c>
      <c r="N11" s="81">
        <f t="shared" ref="N11:N68" si="3">+M11*C11</f>
        <v>224852.75929999989</v>
      </c>
      <c r="P11" s="81">
        <f t="shared" ref="P11:P68" si="4">+J11-N11</f>
        <v>0</v>
      </c>
    </row>
    <row r="12" spans="1:16" x14ac:dyDescent="0.25">
      <c r="B12" t="s">
        <v>103</v>
      </c>
      <c r="C12" s="9">
        <v>2293412</v>
      </c>
      <c r="D12" s="9"/>
      <c r="E12" s="9">
        <v>1640497</v>
      </c>
      <c r="F12" s="9"/>
      <c r="G12" s="75">
        <f t="shared" si="0"/>
        <v>0.7153084574424482</v>
      </c>
      <c r="J12" s="10">
        <f t="shared" si="1"/>
        <v>461873.78039999987</v>
      </c>
      <c r="L12" s="10">
        <v>480034</v>
      </c>
      <c r="M12" s="82">
        <f t="shared" si="2"/>
        <v>0.20139154255755176</v>
      </c>
      <c r="N12" s="81">
        <f t="shared" si="3"/>
        <v>461873.78039999987</v>
      </c>
      <c r="P12" s="81">
        <f t="shared" si="4"/>
        <v>0</v>
      </c>
    </row>
    <row r="13" spans="1:16" x14ac:dyDescent="0.25">
      <c r="B13" t="s">
        <v>104</v>
      </c>
      <c r="C13" s="9">
        <v>1700450</v>
      </c>
      <c r="D13" s="9"/>
      <c r="E13" s="9">
        <v>1700450</v>
      </c>
      <c r="F13" s="9"/>
      <c r="G13" s="75">
        <f t="shared" si="0"/>
        <v>1</v>
      </c>
      <c r="J13" s="10">
        <v>0</v>
      </c>
      <c r="L13" s="10">
        <v>0</v>
      </c>
      <c r="M13" s="82">
        <f t="shared" si="2"/>
        <v>-8.3300000000000041E-2</v>
      </c>
      <c r="N13" s="81">
        <f t="shared" si="3"/>
        <v>-141647.48500000007</v>
      </c>
      <c r="P13" s="81">
        <f t="shared" si="4"/>
        <v>141647.48500000007</v>
      </c>
    </row>
    <row r="14" spans="1:16" x14ac:dyDescent="0.25">
      <c r="B14" t="s">
        <v>105</v>
      </c>
      <c r="C14" s="9">
        <v>1061610</v>
      </c>
      <c r="D14" s="9"/>
      <c r="E14" s="9">
        <v>922975</v>
      </c>
      <c r="F14" s="9"/>
      <c r="G14" s="75">
        <f t="shared" si="0"/>
        <v>0.86941061218338189</v>
      </c>
      <c r="J14" s="10">
        <f t="shared" si="1"/>
        <v>50202.886999999908</v>
      </c>
      <c r="L14" s="10">
        <v>49183</v>
      </c>
      <c r="M14" s="82">
        <f t="shared" si="2"/>
        <v>4.7289387816618067E-2</v>
      </c>
      <c r="N14" s="81">
        <f t="shared" si="3"/>
        <v>50202.886999999908</v>
      </c>
      <c r="P14" s="81">
        <f t="shared" si="4"/>
        <v>0</v>
      </c>
    </row>
    <row r="15" spans="1:16" x14ac:dyDescent="0.25">
      <c r="B15" t="s">
        <v>106</v>
      </c>
      <c r="C15" s="9">
        <v>1427851</v>
      </c>
      <c r="D15" s="9"/>
      <c r="E15" s="9">
        <v>855578</v>
      </c>
      <c r="F15" s="9"/>
      <c r="G15" s="75">
        <f t="shared" si="0"/>
        <v>0.59920677997914351</v>
      </c>
      <c r="J15" s="10">
        <f t="shared" si="1"/>
        <v>453333.01169999992</v>
      </c>
      <c r="L15" s="10">
        <v>32712</v>
      </c>
      <c r="M15" s="82">
        <f t="shared" si="2"/>
        <v>0.31749322002085645</v>
      </c>
      <c r="N15" s="81">
        <f t="shared" si="3"/>
        <v>453333.01169999992</v>
      </c>
      <c r="P15" s="81">
        <f t="shared" si="4"/>
        <v>0</v>
      </c>
    </row>
    <row r="16" spans="1:16" x14ac:dyDescent="0.25">
      <c r="B16" t="s">
        <v>107</v>
      </c>
      <c r="C16" s="9">
        <v>1314900</v>
      </c>
      <c r="D16" s="9"/>
      <c r="E16" s="9">
        <v>1113510</v>
      </c>
      <c r="F16" s="9"/>
      <c r="G16" s="75">
        <f t="shared" si="0"/>
        <v>0.846840063883185</v>
      </c>
      <c r="J16" s="10">
        <f t="shared" si="1"/>
        <v>91858.829999999987</v>
      </c>
      <c r="L16" s="10">
        <v>0</v>
      </c>
      <c r="M16" s="82">
        <f t="shared" si="2"/>
        <v>6.9859936116814958E-2</v>
      </c>
      <c r="N16" s="81">
        <f t="shared" si="3"/>
        <v>91858.829999999987</v>
      </c>
      <c r="P16" s="81">
        <f t="shared" si="4"/>
        <v>0</v>
      </c>
    </row>
    <row r="17" spans="2:17" x14ac:dyDescent="0.25">
      <c r="B17" t="s">
        <v>108</v>
      </c>
      <c r="C17" s="9">
        <v>1007154</v>
      </c>
      <c r="D17" s="9"/>
      <c r="E17" s="9">
        <v>761095</v>
      </c>
      <c r="F17" s="9"/>
      <c r="G17" s="75">
        <f t="shared" si="0"/>
        <v>0.7556888023082865</v>
      </c>
      <c r="J17" s="10">
        <f t="shared" si="1"/>
        <v>162163.07179999998</v>
      </c>
      <c r="L17" s="10">
        <v>61052</v>
      </c>
      <c r="M17" s="82">
        <f t="shared" si="2"/>
        <v>0.16101119769171346</v>
      </c>
      <c r="N17" s="81">
        <f t="shared" si="3"/>
        <v>162163.07179999998</v>
      </c>
      <c r="P17" s="81">
        <f t="shared" si="4"/>
        <v>0</v>
      </c>
    </row>
    <row r="18" spans="2:17" x14ac:dyDescent="0.25">
      <c r="B18" t="s">
        <v>109</v>
      </c>
      <c r="C18" s="9">
        <v>416915</v>
      </c>
      <c r="D18" s="9"/>
      <c r="E18" s="9">
        <v>340942</v>
      </c>
      <c r="F18" s="9"/>
      <c r="G18" s="75">
        <f t="shared" si="0"/>
        <v>0.8177734070493986</v>
      </c>
      <c r="J18" s="10">
        <f t="shared" si="1"/>
        <v>41243.980499999961</v>
      </c>
      <c r="L18" s="10">
        <v>58540</v>
      </c>
      <c r="M18" s="82">
        <f t="shared" si="2"/>
        <v>9.8926592950601355E-2</v>
      </c>
      <c r="N18" s="81">
        <f t="shared" si="3"/>
        <v>41243.980499999961</v>
      </c>
      <c r="P18" s="81">
        <f t="shared" si="4"/>
        <v>0</v>
      </c>
    </row>
    <row r="19" spans="2:17" x14ac:dyDescent="0.25">
      <c r="B19" t="s">
        <v>147</v>
      </c>
      <c r="C19" s="9">
        <v>58386</v>
      </c>
      <c r="D19" s="9"/>
      <c r="E19" s="9">
        <v>47244</v>
      </c>
      <c r="F19" s="9"/>
      <c r="G19" s="75">
        <f t="shared" si="0"/>
        <v>0.80916658102969885</v>
      </c>
      <c r="J19" s="10">
        <f t="shared" si="1"/>
        <v>6278.4462000000003</v>
      </c>
      <c r="L19" s="10">
        <v>17045</v>
      </c>
      <c r="M19" s="82">
        <f t="shared" si="2"/>
        <v>0.10753341897030111</v>
      </c>
      <c r="N19" s="81">
        <f t="shared" si="3"/>
        <v>6278.4462000000003</v>
      </c>
      <c r="P19" s="81">
        <f t="shared" si="4"/>
        <v>0</v>
      </c>
    </row>
    <row r="20" spans="2:17" x14ac:dyDescent="0.25">
      <c r="B20" t="s">
        <v>110</v>
      </c>
      <c r="C20" s="9">
        <v>2001811</v>
      </c>
      <c r="D20" s="9"/>
      <c r="E20" s="9">
        <v>1803012</v>
      </c>
      <c r="F20" s="9"/>
      <c r="G20" s="75">
        <f t="shared" si="0"/>
        <v>0.90069042482032524</v>
      </c>
      <c r="J20" s="10">
        <f t="shared" si="1"/>
        <v>32048.143699999826</v>
      </c>
      <c r="L20" s="10">
        <v>138322</v>
      </c>
      <c r="M20" s="82">
        <f t="shared" si="2"/>
        <v>1.6009575179674718E-2</v>
      </c>
      <c r="N20" s="81">
        <f t="shared" si="3"/>
        <v>32048.143699999826</v>
      </c>
      <c r="P20" s="81">
        <f t="shared" si="4"/>
        <v>0</v>
      </c>
    </row>
    <row r="21" spans="2:17" x14ac:dyDescent="0.25">
      <c r="B21" t="s">
        <v>111</v>
      </c>
      <c r="C21" s="9">
        <v>491284</v>
      </c>
      <c r="D21" s="9"/>
      <c r="E21" s="9">
        <v>402672</v>
      </c>
      <c r="F21" s="9"/>
      <c r="G21" s="75">
        <f t="shared" si="0"/>
        <v>0.8196318219197043</v>
      </c>
      <c r="J21" s="10">
        <f t="shared" si="1"/>
        <v>47688.042799999974</v>
      </c>
      <c r="L21" s="10">
        <v>15653</v>
      </c>
      <c r="M21" s="82">
        <f t="shared" si="2"/>
        <v>9.7068178080295664E-2</v>
      </c>
      <c r="N21" s="81">
        <f t="shared" si="3"/>
        <v>47688.042799999974</v>
      </c>
      <c r="P21" s="81">
        <f t="shared" si="4"/>
        <v>0</v>
      </c>
    </row>
    <row r="22" spans="2:17" x14ac:dyDescent="0.25">
      <c r="B22" t="s">
        <v>112</v>
      </c>
      <c r="C22" s="9">
        <v>525366</v>
      </c>
      <c r="D22" s="9"/>
      <c r="E22" s="9">
        <v>427364</v>
      </c>
      <c r="F22" s="9"/>
      <c r="G22" s="75">
        <f t="shared" si="0"/>
        <v>0.81345956913846729</v>
      </c>
      <c r="J22" s="10">
        <f t="shared" si="1"/>
        <v>54239.012199999976</v>
      </c>
      <c r="L22" s="10">
        <v>22275</v>
      </c>
      <c r="M22" s="82">
        <f t="shared" si="2"/>
        <v>0.10324043086153267</v>
      </c>
      <c r="N22" s="81">
        <f t="shared" si="3"/>
        <v>54239.012199999976</v>
      </c>
      <c r="P22" s="81">
        <f t="shared" si="4"/>
        <v>0</v>
      </c>
    </row>
    <row r="23" spans="2:17" x14ac:dyDescent="0.25">
      <c r="B23" t="s">
        <v>113</v>
      </c>
      <c r="C23" s="9">
        <v>1018945</v>
      </c>
      <c r="D23" s="9"/>
      <c r="E23" s="9">
        <v>823251</v>
      </c>
      <c r="F23" s="9"/>
      <c r="G23" s="75">
        <f t="shared" si="0"/>
        <v>0.8079444916065146</v>
      </c>
      <c r="J23" s="10">
        <f t="shared" si="1"/>
        <v>110815.88149999993</v>
      </c>
      <c r="L23" s="10">
        <v>0</v>
      </c>
      <c r="M23" s="82">
        <f t="shared" si="2"/>
        <v>0.10875550839348536</v>
      </c>
      <c r="N23" s="81">
        <f t="shared" si="3"/>
        <v>110815.88149999993</v>
      </c>
      <c r="P23" s="81">
        <f t="shared" si="4"/>
        <v>0</v>
      </c>
      <c r="Q23">
        <v>966847</v>
      </c>
    </row>
    <row r="24" spans="2:17" x14ac:dyDescent="0.25">
      <c r="B24" t="s">
        <v>114</v>
      </c>
      <c r="C24" s="9">
        <v>1650500</v>
      </c>
      <c r="D24" s="9"/>
      <c r="E24" s="9">
        <v>1304363</v>
      </c>
      <c r="F24" s="9"/>
      <c r="G24" s="75">
        <f t="shared" si="0"/>
        <v>0.7902835504392608</v>
      </c>
      <c r="J24" s="10">
        <f t="shared" si="1"/>
        <v>208650.34999999998</v>
      </c>
      <c r="L24" s="9">
        <v>114482</v>
      </c>
      <c r="M24" s="82">
        <f t="shared" si="2"/>
        <v>0.12641644956073916</v>
      </c>
      <c r="N24" s="81">
        <f t="shared" si="3"/>
        <v>208650.34999999998</v>
      </c>
      <c r="P24" s="81">
        <f t="shared" si="4"/>
        <v>0</v>
      </c>
      <c r="Q24">
        <v>1105552</v>
      </c>
    </row>
    <row r="25" spans="2:17" x14ac:dyDescent="0.25">
      <c r="B25" t="s">
        <v>115</v>
      </c>
      <c r="C25" s="9">
        <v>4582865</v>
      </c>
      <c r="D25" s="9"/>
      <c r="E25" s="9">
        <v>2807318</v>
      </c>
      <c r="F25" s="9"/>
      <c r="G25" s="75">
        <f t="shared" si="0"/>
        <v>0.61256833880116479</v>
      </c>
      <c r="J25" s="10">
        <f t="shared" si="1"/>
        <v>1393794.3454999998</v>
      </c>
      <c r="L25" s="9">
        <f>834562+138705</f>
        <v>973267</v>
      </c>
      <c r="M25" s="82">
        <f t="shared" si="2"/>
        <v>0.30413166119883517</v>
      </c>
      <c r="N25" s="81">
        <f t="shared" si="3"/>
        <v>1393794.3454999998</v>
      </c>
      <c r="P25" s="81">
        <f t="shared" si="4"/>
        <v>0</v>
      </c>
      <c r="Q25">
        <f>+Q24-Q23</f>
        <v>138705</v>
      </c>
    </row>
    <row r="26" spans="2:17" x14ac:dyDescent="0.25">
      <c r="B26" t="s">
        <v>116</v>
      </c>
      <c r="C26" s="9">
        <v>257953</v>
      </c>
      <c r="D26" s="9"/>
      <c r="E26" s="9">
        <v>227498</v>
      </c>
      <c r="F26" s="9"/>
      <c r="G26" s="75">
        <f t="shared" si="0"/>
        <v>0.8819358565320039</v>
      </c>
      <c r="J26" s="10">
        <f t="shared" si="1"/>
        <v>8967.515099999986</v>
      </c>
      <c r="L26" s="9">
        <v>17803</v>
      </c>
      <c r="M26" s="82">
        <f t="shared" si="2"/>
        <v>3.4764143467996056E-2</v>
      </c>
      <c r="N26" s="81">
        <f t="shared" si="3"/>
        <v>8967.515099999986</v>
      </c>
      <c r="P26" s="81">
        <f t="shared" si="4"/>
        <v>0</v>
      </c>
    </row>
    <row r="27" spans="2:17" x14ac:dyDescent="0.25">
      <c r="B27" t="s">
        <v>117</v>
      </c>
      <c r="C27" s="9">
        <v>2261414</v>
      </c>
      <c r="D27" s="9"/>
      <c r="E27" s="9">
        <v>1953688</v>
      </c>
      <c r="F27" s="9"/>
      <c r="G27" s="75">
        <f t="shared" si="0"/>
        <v>0.86392319141917406</v>
      </c>
      <c r="J27" s="10">
        <f t="shared" si="1"/>
        <v>119350.21379999981</v>
      </c>
      <c r="L27" s="10">
        <v>236392</v>
      </c>
      <c r="M27" s="82">
        <f t="shared" si="2"/>
        <v>5.2776808580825896E-2</v>
      </c>
      <c r="N27" s="81">
        <f t="shared" si="3"/>
        <v>119350.21379999981</v>
      </c>
      <c r="P27" s="81">
        <f t="shared" si="4"/>
        <v>0</v>
      </c>
    </row>
    <row r="28" spans="2:17" x14ac:dyDescent="0.25">
      <c r="B28" t="s">
        <v>118</v>
      </c>
      <c r="C28" s="9">
        <v>477535</v>
      </c>
      <c r="D28" s="9"/>
      <c r="E28" s="9">
        <v>394161</v>
      </c>
      <c r="F28" s="9"/>
      <c r="G28" s="75">
        <f t="shared" si="0"/>
        <v>0.82540756174940055</v>
      </c>
      <c r="J28" s="10">
        <f t="shared" si="1"/>
        <v>43595.33449999999</v>
      </c>
      <c r="L28" s="10">
        <v>60533</v>
      </c>
      <c r="M28" s="82">
        <f t="shared" si="2"/>
        <v>9.1292438250599406E-2</v>
      </c>
      <c r="N28" s="81">
        <f t="shared" si="3"/>
        <v>43595.33449999999</v>
      </c>
      <c r="P28" s="81">
        <f t="shared" si="4"/>
        <v>0</v>
      </c>
    </row>
    <row r="29" spans="2:17" x14ac:dyDescent="0.25">
      <c r="B29" t="s">
        <v>148</v>
      </c>
      <c r="C29" s="9">
        <v>1202496</v>
      </c>
      <c r="D29" s="9"/>
      <c r="E29" s="9">
        <v>882937</v>
      </c>
      <c r="F29" s="9"/>
      <c r="G29" s="75">
        <f t="shared" si="0"/>
        <v>0.7342535858747139</v>
      </c>
      <c r="J29" s="10">
        <f t="shared" si="1"/>
        <v>219391.08319999999</v>
      </c>
      <c r="L29" s="78">
        <v>71913</v>
      </c>
      <c r="M29" s="82">
        <f t="shared" si="2"/>
        <v>0.18244641412528606</v>
      </c>
      <c r="N29" s="81">
        <f t="shared" si="3"/>
        <v>219391.08319999999</v>
      </c>
      <c r="P29" s="81">
        <f t="shared" si="4"/>
        <v>0</v>
      </c>
    </row>
    <row r="30" spans="2:17" x14ac:dyDescent="0.25">
      <c r="B30" t="s">
        <v>476</v>
      </c>
      <c r="C30" s="9">
        <v>607</v>
      </c>
      <c r="D30" s="9"/>
      <c r="E30" s="9">
        <v>1178</v>
      </c>
      <c r="F30" s="9"/>
      <c r="G30" s="75">
        <f t="shared" si="0"/>
        <v>1.9406919275123558</v>
      </c>
      <c r="J30" s="10">
        <f t="shared" si="1"/>
        <v>-621.56310000000008</v>
      </c>
      <c r="L30" s="10">
        <v>40253</v>
      </c>
      <c r="M30" s="82">
        <f t="shared" si="2"/>
        <v>-1.0239919275123559</v>
      </c>
      <c r="N30" s="81">
        <f t="shared" si="3"/>
        <v>-621.56310000000008</v>
      </c>
      <c r="P30" s="81">
        <f t="shared" si="4"/>
        <v>0</v>
      </c>
    </row>
    <row r="31" spans="2:17" x14ac:dyDescent="0.25">
      <c r="B31" t="s">
        <v>120</v>
      </c>
      <c r="C31" s="9">
        <v>1341324</v>
      </c>
      <c r="D31" s="9"/>
      <c r="E31" s="9">
        <v>987633</v>
      </c>
      <c r="F31" s="9"/>
      <c r="G31" s="75">
        <f t="shared" si="0"/>
        <v>0.73631203199227035</v>
      </c>
      <c r="J31" s="10">
        <f t="shared" si="1"/>
        <v>241958.71079999991</v>
      </c>
      <c r="L31" s="10">
        <v>510</v>
      </c>
      <c r="M31" s="82">
        <f t="shared" si="2"/>
        <v>0.1803879680077296</v>
      </c>
      <c r="N31" s="81">
        <f t="shared" si="3"/>
        <v>241958.71079999991</v>
      </c>
      <c r="P31" s="81">
        <f t="shared" si="4"/>
        <v>0</v>
      </c>
    </row>
    <row r="32" spans="2:17" x14ac:dyDescent="0.25">
      <c r="B32" t="s">
        <v>121</v>
      </c>
      <c r="C32" s="9">
        <v>7899628</v>
      </c>
      <c r="D32" s="9"/>
      <c r="E32" s="9">
        <v>6951101</v>
      </c>
      <c r="F32" s="9"/>
      <c r="G32" s="75">
        <f t="shared" si="0"/>
        <v>0.8799276370988609</v>
      </c>
      <c r="J32" s="10">
        <f t="shared" si="1"/>
        <v>290487.98759999929</v>
      </c>
      <c r="L32" s="10">
        <v>302669</v>
      </c>
      <c r="M32" s="82">
        <f t="shared" si="2"/>
        <v>3.6772362901139055E-2</v>
      </c>
      <c r="N32" s="81">
        <f t="shared" si="3"/>
        <v>290487.98759999929</v>
      </c>
      <c r="P32" s="81">
        <f t="shared" si="4"/>
        <v>0</v>
      </c>
    </row>
    <row r="33" spans="1:16" x14ac:dyDescent="0.25">
      <c r="B33" t="s">
        <v>122</v>
      </c>
      <c r="C33" s="9">
        <v>697715</v>
      </c>
      <c r="D33" s="9"/>
      <c r="E33" s="9">
        <v>474064</v>
      </c>
      <c r="F33" s="9"/>
      <c r="G33" s="75">
        <f t="shared" si="0"/>
        <v>0.67945221186300997</v>
      </c>
      <c r="J33" s="10">
        <f t="shared" si="1"/>
        <v>165531.34049999996</v>
      </c>
      <c r="L33" s="10">
        <v>117851</v>
      </c>
      <c r="M33" s="82">
        <f t="shared" si="2"/>
        <v>0.23724778813698999</v>
      </c>
      <c r="N33" s="81">
        <f t="shared" si="3"/>
        <v>165531.34049999996</v>
      </c>
      <c r="P33" s="81">
        <f t="shared" si="4"/>
        <v>0</v>
      </c>
    </row>
    <row r="34" spans="1:16" x14ac:dyDescent="0.25">
      <c r="B34" t="s">
        <v>123</v>
      </c>
      <c r="C34" s="9">
        <v>985470</v>
      </c>
      <c r="D34" s="9"/>
      <c r="E34" s="9">
        <v>785146</v>
      </c>
      <c r="F34" s="9"/>
      <c r="G34" s="75">
        <f t="shared" si="0"/>
        <v>0.79672237612509766</v>
      </c>
      <c r="J34" s="10">
        <f t="shared" si="1"/>
        <v>118234.34899999996</v>
      </c>
      <c r="L34" s="10">
        <v>125879</v>
      </c>
      <c r="M34" s="82">
        <f t="shared" si="2"/>
        <v>0.11997762387490229</v>
      </c>
      <c r="N34" s="81">
        <f t="shared" si="3"/>
        <v>118234.34899999996</v>
      </c>
      <c r="P34" s="81">
        <f t="shared" si="4"/>
        <v>0</v>
      </c>
    </row>
    <row r="35" spans="1:16" x14ac:dyDescent="0.25">
      <c r="B35" t="s">
        <v>124</v>
      </c>
      <c r="C35" s="12">
        <v>18674881</v>
      </c>
      <c r="D35" s="9"/>
      <c r="E35" s="12">
        <v>14399223</v>
      </c>
      <c r="F35" s="9"/>
      <c r="G35" s="83">
        <f t="shared" si="0"/>
        <v>0.77104764415901772</v>
      </c>
      <c r="J35" s="73">
        <f t="shared" si="1"/>
        <v>2720040.4126999984</v>
      </c>
      <c r="L35" s="73">
        <v>191833</v>
      </c>
      <c r="M35" s="82">
        <f t="shared" si="2"/>
        <v>0.14565235584098224</v>
      </c>
      <c r="N35" s="81">
        <f t="shared" si="3"/>
        <v>2720040.4126999984</v>
      </c>
      <c r="P35" s="81">
        <f t="shared" si="4"/>
        <v>0</v>
      </c>
    </row>
    <row r="36" spans="1:16" x14ac:dyDescent="0.25">
      <c r="B36" t="s">
        <v>455</v>
      </c>
      <c r="C36" s="11">
        <f>SUM(C10:C35)</f>
        <v>57519640</v>
      </c>
      <c r="D36" s="9"/>
      <c r="E36" s="11">
        <f>SUM(E10:E35)</f>
        <v>45343366</v>
      </c>
      <c r="F36" s="9"/>
      <c r="G36" s="86">
        <f>SUM(G10:G35)</f>
        <v>21.862909301596574</v>
      </c>
      <c r="J36" s="11">
        <f>SUM(J10:J35)</f>
        <v>7526535.4729999965</v>
      </c>
      <c r="L36" s="11">
        <f>SUM(L10:L35)</f>
        <v>3429675</v>
      </c>
      <c r="M36" s="82">
        <f t="shared" si="2"/>
        <v>-20.946209301596575</v>
      </c>
      <c r="N36" s="81">
        <f t="shared" si="3"/>
        <v>-1204818418.3924863</v>
      </c>
      <c r="P36" s="81">
        <f t="shared" si="4"/>
        <v>1212344953.8654864</v>
      </c>
    </row>
    <row r="37" spans="1:16" x14ac:dyDescent="0.25">
      <c r="C37" s="9"/>
      <c r="D37" s="9"/>
      <c r="E37" s="9"/>
      <c r="F37" s="9"/>
      <c r="G37" s="75"/>
      <c r="J37" s="10"/>
      <c r="L37" s="10"/>
      <c r="M37" s="82">
        <f t="shared" si="2"/>
        <v>0.91669999999999996</v>
      </c>
      <c r="N37" s="81">
        <f t="shared" si="3"/>
        <v>0</v>
      </c>
      <c r="P37" s="81">
        <f t="shared" si="4"/>
        <v>0</v>
      </c>
    </row>
    <row r="38" spans="1:16" x14ac:dyDescent="0.25">
      <c r="A38" t="s">
        <v>126</v>
      </c>
      <c r="C38" s="9"/>
      <c r="D38" s="9"/>
      <c r="E38" s="9"/>
      <c r="F38" s="9"/>
      <c r="G38" s="75"/>
      <c r="J38" s="10"/>
      <c r="L38" s="10"/>
      <c r="M38" s="82">
        <f t="shared" si="2"/>
        <v>0.91669999999999996</v>
      </c>
      <c r="N38" s="81">
        <f t="shared" si="3"/>
        <v>0</v>
      </c>
      <c r="P38" s="81">
        <f t="shared" si="4"/>
        <v>0</v>
      </c>
    </row>
    <row r="39" spans="1:16" x14ac:dyDescent="0.25">
      <c r="B39" t="s">
        <v>131</v>
      </c>
      <c r="C39" s="9">
        <v>29430092</v>
      </c>
      <c r="D39" s="9"/>
      <c r="E39" s="9">
        <v>25586515</v>
      </c>
      <c r="F39" s="9"/>
      <c r="G39" s="75">
        <f t="shared" ref="G39" si="5">+E39/C39</f>
        <v>0.86939976266469032</v>
      </c>
      <c r="J39" s="10">
        <f>($M$5-G39)*C39</f>
        <v>1392050.3363999974</v>
      </c>
      <c r="L39" s="10">
        <v>816506</v>
      </c>
      <c r="M39" s="82">
        <f t="shared" si="2"/>
        <v>4.7300237335309636E-2</v>
      </c>
      <c r="N39" s="81">
        <f t="shared" si="3"/>
        <v>1392050.3363999974</v>
      </c>
      <c r="P39" s="81">
        <f t="shared" si="4"/>
        <v>0</v>
      </c>
    </row>
    <row r="40" spans="1:16" x14ac:dyDescent="0.25">
      <c r="B40" t="s">
        <v>513</v>
      </c>
      <c r="C40" s="9">
        <v>0</v>
      </c>
      <c r="D40" s="9"/>
      <c r="E40" s="9">
        <v>327000</v>
      </c>
      <c r="F40" s="9"/>
      <c r="G40" s="75"/>
      <c r="J40" s="10">
        <f t="shared" ref="J40:J45" si="6">($M$5-G40)*C40</f>
        <v>0</v>
      </c>
      <c r="L40" s="10">
        <v>0</v>
      </c>
      <c r="M40" s="82">
        <f t="shared" si="2"/>
        <v>0.91669999999999996</v>
      </c>
      <c r="N40" s="81">
        <f t="shared" si="3"/>
        <v>0</v>
      </c>
      <c r="P40" s="81">
        <f t="shared" si="4"/>
        <v>0</v>
      </c>
    </row>
    <row r="41" spans="1:16" x14ac:dyDescent="0.25">
      <c r="B41" t="s">
        <v>149</v>
      </c>
      <c r="C41" s="9">
        <v>12123863</v>
      </c>
      <c r="D41" s="9"/>
      <c r="E41" s="9">
        <v>10183485</v>
      </c>
      <c r="F41" s="9"/>
      <c r="G41" s="75">
        <f>+E41/C41</f>
        <v>0.83995381670017222</v>
      </c>
      <c r="J41" s="10">
        <f t="shared" si="6"/>
        <v>930460.21209999942</v>
      </c>
      <c r="L41" s="10">
        <v>402203</v>
      </c>
      <c r="M41" s="82">
        <f t="shared" si="2"/>
        <v>7.6746183299827742E-2</v>
      </c>
      <c r="N41" s="81">
        <f t="shared" si="3"/>
        <v>930460.21209999942</v>
      </c>
      <c r="P41" s="81">
        <f t="shared" si="4"/>
        <v>0</v>
      </c>
    </row>
    <row r="42" spans="1:16" x14ac:dyDescent="0.25">
      <c r="B42" t="s">
        <v>132</v>
      </c>
      <c r="C42" s="9">
        <v>1176419</v>
      </c>
      <c r="D42" s="9"/>
      <c r="E42" s="9">
        <v>1097664</v>
      </c>
      <c r="F42" s="9"/>
      <c r="G42" s="75">
        <f t="shared" ref="G42:G46" si="7">+E42/C42</f>
        <v>0.9330553144755398</v>
      </c>
      <c r="J42" s="10">
        <f t="shared" si="6"/>
        <v>-19240.702700000104</v>
      </c>
      <c r="L42" s="10">
        <f>353548+532012</f>
        <v>885560</v>
      </c>
      <c r="M42" s="82">
        <f t="shared" si="2"/>
        <v>-1.6355314475539839E-2</v>
      </c>
      <c r="N42" s="81">
        <f t="shared" si="3"/>
        <v>-19240.702700000104</v>
      </c>
      <c r="P42" s="81">
        <f t="shared" si="4"/>
        <v>0</v>
      </c>
    </row>
    <row r="43" spans="1:16" x14ac:dyDescent="0.25">
      <c r="B43" t="s">
        <v>133</v>
      </c>
      <c r="C43" s="9">
        <v>7445410</v>
      </c>
      <c r="D43" s="9"/>
      <c r="E43" s="9">
        <v>5908379</v>
      </c>
      <c r="F43" s="9"/>
      <c r="G43" s="75">
        <f t="shared" si="7"/>
        <v>0.79355992483959914</v>
      </c>
      <c r="J43" s="10">
        <f t="shared" si="6"/>
        <v>916828.34699999983</v>
      </c>
      <c r="L43" s="10">
        <v>1079950</v>
      </c>
      <c r="M43" s="82">
        <f t="shared" si="2"/>
        <v>0.12314007516040082</v>
      </c>
      <c r="N43" s="81">
        <f t="shared" si="3"/>
        <v>916828.34699999983</v>
      </c>
      <c r="P43" s="81">
        <f t="shared" si="4"/>
        <v>0</v>
      </c>
    </row>
    <row r="44" spans="1:16" x14ac:dyDescent="0.25">
      <c r="B44" t="s">
        <v>150</v>
      </c>
      <c r="C44" s="9">
        <v>1816718</v>
      </c>
      <c r="D44" s="9"/>
      <c r="E44" s="9">
        <v>1328220</v>
      </c>
      <c r="F44" s="9"/>
      <c r="G44" s="75">
        <f t="shared" si="7"/>
        <v>0.73110961635212512</v>
      </c>
      <c r="J44" s="10">
        <f t="shared" si="6"/>
        <v>337165.39059999987</v>
      </c>
      <c r="L44" s="10">
        <v>292747</v>
      </c>
      <c r="M44" s="82">
        <f t="shared" si="2"/>
        <v>0.18559038364787483</v>
      </c>
      <c r="N44" s="81">
        <f t="shared" si="3"/>
        <v>337165.39059999987</v>
      </c>
      <c r="P44" s="81">
        <f t="shared" si="4"/>
        <v>0</v>
      </c>
    </row>
    <row r="45" spans="1:16" x14ac:dyDescent="0.25">
      <c r="B45" t="s">
        <v>134</v>
      </c>
      <c r="C45" s="9">
        <v>1311944</v>
      </c>
      <c r="D45" s="9"/>
      <c r="E45" s="9">
        <v>1219762</v>
      </c>
      <c r="F45" s="9"/>
      <c r="G45" s="75">
        <f t="shared" si="7"/>
        <v>0.9297363302092162</v>
      </c>
      <c r="J45" s="10">
        <f t="shared" si="6"/>
        <v>-17102.935199999993</v>
      </c>
      <c r="L45" s="10">
        <v>277213</v>
      </c>
      <c r="M45" s="82">
        <f t="shared" si="2"/>
        <v>-1.303633020921624E-2</v>
      </c>
      <c r="N45" s="81">
        <f t="shared" si="3"/>
        <v>-17102.935199999993</v>
      </c>
      <c r="P45" s="81">
        <f t="shared" si="4"/>
        <v>0</v>
      </c>
    </row>
    <row r="46" spans="1:16" x14ac:dyDescent="0.25">
      <c r="B46" t="s">
        <v>454</v>
      </c>
      <c r="C46" s="11">
        <v>53304446</v>
      </c>
      <c r="D46" s="9"/>
      <c r="E46" s="11">
        <v>45651025</v>
      </c>
      <c r="F46" s="9"/>
      <c r="G46" s="84">
        <f t="shared" si="7"/>
        <v>0.85642058825637168</v>
      </c>
      <c r="J46" s="85">
        <f>SUM(J39:J45)</f>
        <v>3540160.6481999964</v>
      </c>
      <c r="L46" s="85">
        <f>SUM(L39:L45)</f>
        <v>3754179</v>
      </c>
      <c r="M46" s="82">
        <f t="shared" si="2"/>
        <v>6.0279411743628275E-2</v>
      </c>
      <c r="N46" s="81">
        <f t="shared" si="3"/>
        <v>3213160.6481999992</v>
      </c>
      <c r="P46" s="81">
        <f t="shared" si="4"/>
        <v>326999.99999999721</v>
      </c>
    </row>
    <row r="47" spans="1:16" x14ac:dyDescent="0.25">
      <c r="C47" s="9"/>
      <c r="D47" s="9"/>
      <c r="E47" s="9"/>
      <c r="F47" s="9"/>
      <c r="G47" s="9"/>
      <c r="L47" s="10"/>
      <c r="M47" s="82"/>
      <c r="N47" s="81"/>
      <c r="P47" s="81"/>
    </row>
    <row r="48" spans="1:16" x14ac:dyDescent="0.25">
      <c r="A48" t="s">
        <v>151</v>
      </c>
      <c r="C48" s="9"/>
      <c r="D48" s="9"/>
      <c r="E48" s="9"/>
      <c r="F48" s="9"/>
      <c r="G48" s="9"/>
      <c r="L48" s="10"/>
      <c r="M48" s="82"/>
      <c r="N48" s="81"/>
      <c r="P48" s="81"/>
    </row>
    <row r="49" spans="1:16" x14ac:dyDescent="0.25">
      <c r="B49" t="s">
        <v>135</v>
      </c>
      <c r="C49" s="9">
        <v>5221703</v>
      </c>
      <c r="D49" s="9"/>
      <c r="E49" s="9">
        <v>4242781</v>
      </c>
      <c r="F49" s="9"/>
      <c r="G49" s="75">
        <f>+E49/C49</f>
        <v>0.8125282115815472</v>
      </c>
      <c r="J49" s="10">
        <f>($M$5-G49)*C49</f>
        <v>543954.14010000008</v>
      </c>
      <c r="L49" s="10">
        <v>1575173</v>
      </c>
      <c r="M49" s="82">
        <f t="shared" si="2"/>
        <v>0.10417178841845276</v>
      </c>
      <c r="N49" s="81">
        <f t="shared" si="3"/>
        <v>543954.14010000008</v>
      </c>
      <c r="P49" s="81">
        <f t="shared" si="4"/>
        <v>0</v>
      </c>
    </row>
    <row r="50" spans="1:16" x14ac:dyDescent="0.25">
      <c r="B50" t="s">
        <v>547</v>
      </c>
      <c r="C50" s="9">
        <v>698959</v>
      </c>
      <c r="D50" s="9"/>
      <c r="E50" s="9">
        <v>460102</v>
      </c>
      <c r="F50" s="9"/>
      <c r="G50" s="75">
        <f t="shared" ref="G50:G51" si="8">+E50/C50</f>
        <v>0.65826750925304633</v>
      </c>
      <c r="J50" s="10">
        <f t="shared" ref="J50:J51" si="9">($M$5-G50)*C50</f>
        <v>180633.71529999995</v>
      </c>
      <c r="L50" s="10">
        <v>2867</v>
      </c>
      <c r="M50" s="82">
        <f t="shared" si="2"/>
        <v>0.25843249074695362</v>
      </c>
      <c r="N50" s="81">
        <f t="shared" si="3"/>
        <v>180633.71529999995</v>
      </c>
      <c r="P50" s="81">
        <f t="shared" si="4"/>
        <v>0</v>
      </c>
    </row>
    <row r="51" spans="1:16" x14ac:dyDescent="0.25">
      <c r="B51" t="s">
        <v>136</v>
      </c>
      <c r="C51" s="9">
        <v>7364527</v>
      </c>
      <c r="D51" s="9"/>
      <c r="E51" s="9">
        <v>6334379</v>
      </c>
      <c r="F51" s="9"/>
      <c r="G51" s="75">
        <f t="shared" si="8"/>
        <v>0.86012027656358647</v>
      </c>
      <c r="J51" s="10">
        <f t="shared" si="9"/>
        <v>416682.90089999989</v>
      </c>
      <c r="L51" s="10">
        <v>724866</v>
      </c>
      <c r="M51" s="82">
        <f t="shared" si="2"/>
        <v>5.6579723436413487E-2</v>
      </c>
      <c r="N51" s="81">
        <f t="shared" si="3"/>
        <v>416682.90089999989</v>
      </c>
      <c r="P51" s="81">
        <f t="shared" si="4"/>
        <v>0</v>
      </c>
    </row>
    <row r="52" spans="1:16" x14ac:dyDescent="0.25">
      <c r="B52" t="s">
        <v>456</v>
      </c>
      <c r="C52" s="11">
        <f>SUM(C49:C51)</f>
        <v>13285189</v>
      </c>
      <c r="D52" s="9"/>
      <c r="E52" s="11">
        <f>SUM(E49:E51)</f>
        <v>11037262</v>
      </c>
      <c r="F52" s="9"/>
      <c r="G52" s="86">
        <f>SUM(G49:G51)</f>
        <v>2.3309159973981801</v>
      </c>
      <c r="J52" s="11">
        <f>SUM(J49:J51)</f>
        <v>1141270.7563</v>
      </c>
      <c r="L52" s="11">
        <f>SUM(L49:L51)</f>
        <v>2302906</v>
      </c>
      <c r="M52" s="82">
        <f t="shared" si="2"/>
        <v>-1.41421599739818</v>
      </c>
      <c r="N52" s="81">
        <f t="shared" si="3"/>
        <v>-18788126.812258329</v>
      </c>
      <c r="P52" s="81">
        <f t="shared" si="4"/>
        <v>19929397.568558328</v>
      </c>
    </row>
    <row r="53" spans="1:16" x14ac:dyDescent="0.25">
      <c r="C53" s="9"/>
      <c r="D53" s="9"/>
      <c r="E53" s="9"/>
      <c r="F53" s="9"/>
      <c r="G53" s="75"/>
      <c r="J53" s="10"/>
      <c r="L53" s="10"/>
      <c r="M53" s="82"/>
      <c r="N53" s="81"/>
      <c r="P53" s="81"/>
    </row>
    <row r="54" spans="1:16" x14ac:dyDescent="0.25">
      <c r="A54" t="s">
        <v>137</v>
      </c>
      <c r="C54" s="9"/>
      <c r="D54" s="9"/>
      <c r="E54" s="9"/>
      <c r="F54" s="9"/>
      <c r="G54" s="75"/>
      <c r="J54" s="10"/>
      <c r="L54" s="10"/>
      <c r="M54" s="82"/>
      <c r="N54" s="81"/>
      <c r="P54" s="81"/>
    </row>
    <row r="55" spans="1:16" x14ac:dyDescent="0.25">
      <c r="B55" s="87" t="s">
        <v>138</v>
      </c>
      <c r="C55" s="15">
        <v>1820155</v>
      </c>
      <c r="D55" s="9"/>
      <c r="E55" s="15">
        <v>1480212</v>
      </c>
      <c r="F55" s="9"/>
      <c r="G55" s="75">
        <f t="shared" ref="G55:G56" si="10">+E55/C55</f>
        <v>0.81323403776052039</v>
      </c>
      <c r="J55" s="10">
        <f t="shared" ref="J55" si="11">($M$5-G55)*C55</f>
        <v>188324.08849999993</v>
      </c>
      <c r="L55" s="10">
        <v>195894</v>
      </c>
      <c r="M55" s="82">
        <f t="shared" si="2"/>
        <v>0.10346596223947957</v>
      </c>
      <c r="N55" s="81">
        <f t="shared" si="3"/>
        <v>188324.08849999993</v>
      </c>
      <c r="P55" s="81">
        <f t="shared" si="4"/>
        <v>0</v>
      </c>
    </row>
    <row r="56" spans="1:16" x14ac:dyDescent="0.25">
      <c r="B56" t="s">
        <v>139</v>
      </c>
      <c r="C56" s="9">
        <v>1879836</v>
      </c>
      <c r="D56" s="9"/>
      <c r="E56" s="9">
        <v>1879836</v>
      </c>
      <c r="F56" s="9"/>
      <c r="G56" s="75">
        <f t="shared" si="10"/>
        <v>1</v>
      </c>
      <c r="J56" s="10">
        <v>0</v>
      </c>
      <c r="L56" s="10">
        <v>0</v>
      </c>
      <c r="M56" s="82">
        <f t="shared" si="2"/>
        <v>-8.3300000000000041E-2</v>
      </c>
      <c r="N56" s="81">
        <f t="shared" si="3"/>
        <v>-156590.33880000009</v>
      </c>
      <c r="P56" s="81">
        <f t="shared" si="4"/>
        <v>156590.33880000009</v>
      </c>
    </row>
    <row r="57" spans="1:16" x14ac:dyDescent="0.25">
      <c r="B57" t="s">
        <v>457</v>
      </c>
      <c r="C57" s="11">
        <f>SUM(C55:C56)</f>
        <v>3699991</v>
      </c>
      <c r="D57" s="9"/>
      <c r="E57" s="11">
        <f>SUM(E55:E56)</f>
        <v>3360048</v>
      </c>
      <c r="F57" s="9"/>
      <c r="G57" s="86">
        <f>SUM(G55:G56)</f>
        <v>1.8132340377605205</v>
      </c>
      <c r="J57" s="11">
        <f>SUM(J55:J56)</f>
        <v>188324.08849999993</v>
      </c>
      <c r="L57" s="11">
        <f>SUM(L55:L56)</f>
        <v>195894</v>
      </c>
      <c r="M57" s="82">
        <f t="shared" si="2"/>
        <v>-0.89653403776052054</v>
      </c>
      <c r="N57" s="81">
        <f t="shared" si="3"/>
        <v>-3317167.8709075861</v>
      </c>
      <c r="P57" s="81">
        <f t="shared" si="4"/>
        <v>3505491.9594075861</v>
      </c>
    </row>
    <row r="58" spans="1:16" x14ac:dyDescent="0.25">
      <c r="C58" s="9"/>
      <c r="D58" s="9"/>
      <c r="E58" s="9"/>
      <c r="F58" s="9"/>
      <c r="G58" s="75"/>
      <c r="J58" s="10"/>
      <c r="L58" s="10"/>
      <c r="M58" s="82">
        <f t="shared" si="2"/>
        <v>0.91669999999999996</v>
      </c>
      <c r="N58" s="81">
        <f t="shared" si="3"/>
        <v>0</v>
      </c>
      <c r="P58" s="81">
        <f t="shared" si="4"/>
        <v>0</v>
      </c>
    </row>
    <row r="59" spans="1:16" x14ac:dyDescent="0.25">
      <c r="A59" t="s">
        <v>140</v>
      </c>
      <c r="C59" s="9"/>
      <c r="D59" s="9"/>
      <c r="E59" s="9"/>
      <c r="F59" s="9"/>
      <c r="G59" s="75"/>
      <c r="J59" s="10"/>
      <c r="L59" s="10"/>
      <c r="M59" s="82">
        <f t="shared" si="2"/>
        <v>0.91669999999999996</v>
      </c>
      <c r="N59" s="81">
        <f t="shared" si="3"/>
        <v>0</v>
      </c>
      <c r="P59" s="81">
        <f t="shared" si="4"/>
        <v>0</v>
      </c>
    </row>
    <row r="60" spans="1:16" x14ac:dyDescent="0.25">
      <c r="B60" t="s">
        <v>141</v>
      </c>
      <c r="C60" s="9">
        <v>274476</v>
      </c>
      <c r="D60" s="9"/>
      <c r="E60" s="9">
        <v>170574</v>
      </c>
      <c r="F60" s="9"/>
      <c r="G60" s="75">
        <f t="shared" ref="G60:G61" si="12">+E60/C60</f>
        <v>0.62145324181349193</v>
      </c>
      <c r="H60" s="10"/>
      <c r="I60" s="88"/>
      <c r="J60" s="10">
        <f t="shared" ref="J60" si="13">($M$5-G60)*C60</f>
        <v>81038.149199999971</v>
      </c>
      <c r="K60" s="21"/>
      <c r="L60" s="10">
        <v>0</v>
      </c>
      <c r="M60" s="82">
        <f t="shared" si="2"/>
        <v>0.29524675818650803</v>
      </c>
      <c r="N60" s="81">
        <f t="shared" si="3"/>
        <v>81038.149199999971</v>
      </c>
      <c r="P60" s="81">
        <f t="shared" si="4"/>
        <v>0</v>
      </c>
    </row>
    <row r="61" spans="1:16" x14ac:dyDescent="0.25">
      <c r="B61" t="s">
        <v>142</v>
      </c>
      <c r="C61" s="10">
        <v>398000</v>
      </c>
      <c r="D61" s="10"/>
      <c r="E61" s="10">
        <v>398000</v>
      </c>
      <c r="F61" s="21"/>
      <c r="G61" s="75">
        <f t="shared" si="12"/>
        <v>1</v>
      </c>
      <c r="H61" s="10"/>
      <c r="I61" s="88"/>
      <c r="J61" s="10">
        <v>0</v>
      </c>
      <c r="K61" s="21"/>
      <c r="L61" s="21">
        <v>0</v>
      </c>
      <c r="M61" s="82">
        <f t="shared" si="2"/>
        <v>-8.3300000000000041E-2</v>
      </c>
      <c r="N61" s="81">
        <f t="shared" si="3"/>
        <v>-33153.400000000016</v>
      </c>
      <c r="P61" s="81">
        <f t="shared" si="4"/>
        <v>33153.400000000016</v>
      </c>
    </row>
    <row r="62" spans="1:16" x14ac:dyDescent="0.25">
      <c r="B62" t="s">
        <v>458</v>
      </c>
      <c r="C62" s="85">
        <f>SUM(C60:C61)</f>
        <v>672476</v>
      </c>
      <c r="D62" s="10"/>
      <c r="E62" s="85">
        <f>SUM(E60:E61)</f>
        <v>568574</v>
      </c>
      <c r="F62" s="21"/>
      <c r="G62" s="89">
        <f>SUM(G60:G61)</f>
        <v>1.6214532418134919</v>
      </c>
      <c r="H62" s="10"/>
      <c r="I62" s="88"/>
      <c r="J62" s="85">
        <f>SUM(J60:J61)</f>
        <v>81038.149199999971</v>
      </c>
      <c r="K62" s="21"/>
      <c r="L62" s="85">
        <f>SUM(L60:L61)</f>
        <v>0</v>
      </c>
      <c r="M62" s="82">
        <f t="shared" si="2"/>
        <v>-0.70475324181349197</v>
      </c>
      <c r="N62" s="81">
        <f t="shared" si="3"/>
        <v>-473929.64104176982</v>
      </c>
      <c r="P62" s="81">
        <f t="shared" si="4"/>
        <v>554967.79024176975</v>
      </c>
    </row>
    <row r="63" spans="1:16" x14ac:dyDescent="0.25">
      <c r="C63" s="10"/>
      <c r="D63" s="10"/>
      <c r="E63" s="10"/>
      <c r="F63" s="21"/>
      <c r="G63" s="21"/>
      <c r="H63" s="10"/>
      <c r="I63" s="88"/>
      <c r="J63" s="88"/>
      <c r="K63" s="21"/>
      <c r="L63" s="21"/>
      <c r="M63" s="82">
        <f t="shared" si="2"/>
        <v>0.91669999999999996</v>
      </c>
      <c r="N63" s="81">
        <f t="shared" si="3"/>
        <v>0</v>
      </c>
      <c r="P63" s="81">
        <f t="shared" si="4"/>
        <v>0</v>
      </c>
    </row>
    <row r="64" spans="1:16" x14ac:dyDescent="0.25">
      <c r="A64" t="s">
        <v>459</v>
      </c>
      <c r="C64" s="10"/>
      <c r="D64" s="10"/>
      <c r="E64" s="10"/>
      <c r="F64" s="21"/>
      <c r="G64" s="21"/>
      <c r="H64" s="10"/>
      <c r="I64" s="88"/>
      <c r="J64" s="88"/>
      <c r="K64" s="21"/>
      <c r="L64" s="21"/>
      <c r="M64" s="82">
        <f t="shared" si="2"/>
        <v>0.91669999999999996</v>
      </c>
      <c r="N64" s="81">
        <f t="shared" si="3"/>
        <v>0</v>
      </c>
      <c r="P64" s="81">
        <f t="shared" si="4"/>
        <v>0</v>
      </c>
    </row>
    <row r="65" spans="2:16" x14ac:dyDescent="0.25">
      <c r="B65" t="s">
        <v>478</v>
      </c>
      <c r="C65" s="10">
        <v>6782634</v>
      </c>
      <c r="D65" s="10"/>
      <c r="E65" s="10">
        <v>4143977</v>
      </c>
      <c r="F65" s="21"/>
      <c r="G65" s="75">
        <f t="shared" ref="G65:G67" si="14">+E65/C65</f>
        <v>0.61096868856553366</v>
      </c>
      <c r="H65" s="10"/>
      <c r="I65" s="88"/>
      <c r="J65" s="10">
        <f t="shared" ref="J65:J66" si="15">($M$5-G65)*C65</f>
        <v>2073663.5877999999</v>
      </c>
      <c r="K65" s="21"/>
      <c r="L65" s="21">
        <v>852792</v>
      </c>
      <c r="M65" s="82">
        <f t="shared" si="2"/>
        <v>0.3057313114344663</v>
      </c>
      <c r="N65" s="81">
        <f t="shared" si="3"/>
        <v>2073663.5877999999</v>
      </c>
      <c r="P65" s="81">
        <f t="shared" si="4"/>
        <v>0</v>
      </c>
    </row>
    <row r="66" spans="2:16" x14ac:dyDescent="0.25">
      <c r="B66" t="s">
        <v>143</v>
      </c>
      <c r="C66" s="10">
        <v>4473435</v>
      </c>
      <c r="D66" s="10"/>
      <c r="E66" s="10">
        <v>3825298</v>
      </c>
      <c r="F66" s="21"/>
      <c r="G66" s="75">
        <f t="shared" si="14"/>
        <v>0.85511424665832858</v>
      </c>
      <c r="H66" s="10"/>
      <c r="I66" s="88"/>
      <c r="J66" s="10">
        <f t="shared" si="15"/>
        <v>275499.86449999968</v>
      </c>
      <c r="K66" s="21"/>
      <c r="L66" s="21">
        <v>711685</v>
      </c>
      <c r="M66" s="82">
        <f t="shared" si="2"/>
        <v>6.1585753341671379E-2</v>
      </c>
      <c r="N66" s="81">
        <f t="shared" si="3"/>
        <v>275499.86449999968</v>
      </c>
      <c r="P66" s="81">
        <f t="shared" si="4"/>
        <v>0</v>
      </c>
    </row>
    <row r="67" spans="2:16" x14ac:dyDescent="0.25">
      <c r="B67" t="s">
        <v>144</v>
      </c>
      <c r="C67" s="10">
        <v>5471652</v>
      </c>
      <c r="D67" s="10"/>
      <c r="E67" s="10">
        <v>5171652</v>
      </c>
      <c r="F67" s="21"/>
      <c r="G67" s="75">
        <f t="shared" si="14"/>
        <v>0.94517195172500001</v>
      </c>
      <c r="H67" s="10"/>
      <c r="I67" s="88"/>
      <c r="J67" s="10">
        <v>0</v>
      </c>
      <c r="K67" s="21"/>
      <c r="L67" s="21">
        <v>0</v>
      </c>
      <c r="M67" s="82">
        <f t="shared" si="2"/>
        <v>-2.8471951725000055E-2</v>
      </c>
      <c r="N67" s="81">
        <f t="shared" si="3"/>
        <v>-155788.6116</v>
      </c>
      <c r="P67" s="81">
        <f t="shared" si="4"/>
        <v>155788.6116</v>
      </c>
    </row>
    <row r="68" spans="2:16" x14ac:dyDescent="0.25">
      <c r="B68" t="s">
        <v>460</v>
      </c>
      <c r="C68" s="85">
        <f>SUM(C65:C67)</f>
        <v>16727721</v>
      </c>
      <c r="D68" s="10"/>
      <c r="E68" s="85">
        <f>SUM(E65:E67)</f>
        <v>13140927</v>
      </c>
      <c r="F68" s="21"/>
      <c r="G68" s="89">
        <f>SUM(G65:G67)</f>
        <v>2.4112548869488624</v>
      </c>
      <c r="H68" s="10"/>
      <c r="I68" s="88"/>
      <c r="J68" s="85">
        <f>SUM(J65:J67)</f>
        <v>2349163.4522999995</v>
      </c>
      <c r="K68" s="21"/>
      <c r="L68" s="85">
        <f>SUM(L65:L67)</f>
        <v>1564477</v>
      </c>
      <c r="M68" s="82">
        <f t="shared" si="2"/>
        <v>-1.4945548869488623</v>
      </c>
      <c r="N68" s="81">
        <f t="shared" si="3"/>
        <v>-25000497.168067109</v>
      </c>
      <c r="P68" s="81">
        <f t="shared" si="4"/>
        <v>27349660.62036711</v>
      </c>
    </row>
    <row r="69" spans="2:16" x14ac:dyDescent="0.25">
      <c r="C69" s="3"/>
      <c r="D69" s="3"/>
      <c r="E69" s="3"/>
      <c r="M69" s="82">
        <f t="shared" ref="M69" si="16">+$M$5-G69</f>
        <v>0.91669999999999996</v>
      </c>
      <c r="N69" s="81">
        <f t="shared" ref="N69" si="17">+M69*C69</f>
        <v>0</v>
      </c>
      <c r="P69" s="81">
        <f t="shared" ref="P69" si="18">+J69-N69</f>
        <v>0</v>
      </c>
    </row>
  </sheetData>
  <mergeCells count="4">
    <mergeCell ref="A4:L4"/>
    <mergeCell ref="A1:L1"/>
    <mergeCell ref="A2:L2"/>
    <mergeCell ref="A3:L3"/>
  </mergeCells>
  <pageMargins left="0.7" right="0.7" top="0.75" bottom="0.75" header="0.3" footer="0.3"/>
  <pageSetup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6A184-4CB1-49F1-910B-298067CA6EE5}">
  <dimension ref="A1:Q193"/>
  <sheetViews>
    <sheetView view="pageBreakPreview" zoomScale="145" zoomScaleNormal="115" zoomScaleSheetLayoutView="145" workbookViewId="0">
      <selection activeCell="C19" sqref="C19"/>
    </sheetView>
  </sheetViews>
  <sheetFormatPr defaultRowHeight="15" x14ac:dyDescent="0.25"/>
  <cols>
    <col min="1" max="1" width="4.7109375" customWidth="1"/>
    <col min="2" max="2" width="17.42578125" customWidth="1"/>
    <col min="3" max="3" width="15.85546875" customWidth="1"/>
    <col min="4" max="4" width="1.7109375" customWidth="1"/>
    <col min="5" max="5" width="15.85546875" customWidth="1"/>
    <col min="6" max="6" width="1.7109375" customWidth="1"/>
    <col min="7" max="7" width="15.85546875" customWidth="1"/>
    <col min="8" max="8" width="1.7109375" customWidth="1"/>
    <col min="9" max="9" width="15.85546875" customWidth="1"/>
    <col min="10" max="10" width="13.28515625" style="3" hidden="1" customWidth="1"/>
    <col min="11" max="11" width="1" style="3" customWidth="1"/>
    <col min="12" max="12" width="16" style="7" bestFit="1" customWidth="1"/>
    <col min="13" max="13" width="13.28515625" style="7" customWidth="1"/>
    <col min="14" max="14" width="5.7109375" style="3" bestFit="1" customWidth="1"/>
    <col min="15" max="15" width="13.7109375" style="7" bestFit="1" customWidth="1"/>
    <col min="16" max="16" width="14.5703125" style="3" bestFit="1" customWidth="1"/>
    <col min="17" max="17" width="14.5703125" bestFit="1" customWidth="1"/>
  </cols>
  <sheetData>
    <row r="1" spans="1:17" x14ac:dyDescent="0.25">
      <c r="A1" s="102" t="s">
        <v>146</v>
      </c>
      <c r="B1" s="102"/>
      <c r="C1" s="102"/>
      <c r="D1" s="102"/>
      <c r="E1" s="102"/>
      <c r="F1" s="102"/>
      <c r="G1" s="102"/>
      <c r="H1" s="102"/>
      <c r="I1" s="102"/>
    </row>
    <row r="2" spans="1:17" x14ac:dyDescent="0.25">
      <c r="A2" s="103" t="s">
        <v>453</v>
      </c>
      <c r="B2" s="103"/>
      <c r="C2" s="103"/>
      <c r="D2" s="103"/>
      <c r="E2" s="103"/>
      <c r="F2" s="103"/>
      <c r="G2" s="103"/>
      <c r="H2" s="103"/>
      <c r="I2" s="103"/>
    </row>
    <row r="3" spans="1:17" x14ac:dyDescent="0.25">
      <c r="A3" s="104" t="str">
        <f>+'Revenues 24'!A3</f>
        <v>For the Period Ending June 30, 2023</v>
      </c>
      <c r="B3" s="104"/>
      <c r="C3" s="104"/>
      <c r="D3" s="104"/>
      <c r="E3" s="104"/>
      <c r="F3" s="104"/>
      <c r="G3" s="104"/>
      <c r="H3" s="104"/>
      <c r="I3" s="104"/>
    </row>
    <row r="5" spans="1:17" x14ac:dyDescent="0.25">
      <c r="G5" s="4"/>
    </row>
    <row r="6" spans="1:17" x14ac:dyDescent="0.25">
      <c r="C6" s="4" t="s">
        <v>127</v>
      </c>
      <c r="E6" s="4" t="s">
        <v>145</v>
      </c>
      <c r="G6" s="4" t="s">
        <v>530</v>
      </c>
      <c r="I6" s="4"/>
    </row>
    <row r="7" spans="1:17" x14ac:dyDescent="0.25">
      <c r="C7" s="4" t="s">
        <v>128</v>
      </c>
      <c r="E7" s="4" t="s">
        <v>128</v>
      </c>
      <c r="G7" s="4" t="s">
        <v>531</v>
      </c>
      <c r="I7" s="4"/>
    </row>
    <row r="8" spans="1:17" x14ac:dyDescent="0.25">
      <c r="C8" s="5">
        <v>45107</v>
      </c>
      <c r="E8" s="5">
        <v>45107</v>
      </c>
      <c r="G8" s="5">
        <v>44957</v>
      </c>
      <c r="I8" s="6" t="s">
        <v>130</v>
      </c>
    </row>
    <row r="9" spans="1:17" x14ac:dyDescent="0.25">
      <c r="A9" t="s">
        <v>125</v>
      </c>
    </row>
    <row r="10" spans="1:17" x14ac:dyDescent="0.25">
      <c r="B10" t="s">
        <v>534</v>
      </c>
      <c r="C10" s="8">
        <v>90769643</v>
      </c>
      <c r="D10" s="8"/>
      <c r="E10" s="8">
        <v>90674807</v>
      </c>
      <c r="F10" s="8"/>
      <c r="G10" s="8">
        <v>46279231</v>
      </c>
      <c r="H10" s="8"/>
      <c r="I10" s="8">
        <f>+E10-G10</f>
        <v>44395576</v>
      </c>
      <c r="L10" s="7">
        <f>+G10/E10</f>
        <v>0.51038687074349109</v>
      </c>
      <c r="N10" s="65">
        <f>+G10/E10</f>
        <v>0.51038687074349109</v>
      </c>
      <c r="O10" s="65">
        <v>0.58333333333333337</v>
      </c>
      <c r="P10" s="3">
        <f>+G10*2</f>
        <v>92558462</v>
      </c>
      <c r="Q10" s="66">
        <f>+E10-P10</f>
        <v>-1883655</v>
      </c>
    </row>
    <row r="11" spans="1:17" x14ac:dyDescent="0.25">
      <c r="B11" t="s">
        <v>535</v>
      </c>
      <c r="C11" s="9">
        <v>26656773</v>
      </c>
      <c r="D11" s="9"/>
      <c r="E11" s="9">
        <v>27559313</v>
      </c>
      <c r="F11" s="9"/>
      <c r="G11" s="9">
        <f>11292477+4956232</f>
        <v>16248709</v>
      </c>
      <c r="H11" s="9"/>
      <c r="I11" s="9">
        <f t="shared" ref="I11:I12" si="0">+E11-G11</f>
        <v>11310604</v>
      </c>
      <c r="L11" s="7">
        <f>+G11/E11</f>
        <v>0.5895904952347687</v>
      </c>
      <c r="N11" s="65">
        <f>+G11/E11</f>
        <v>0.5895904952347687</v>
      </c>
      <c r="O11" s="65">
        <v>0.58333333333333337</v>
      </c>
      <c r="P11" s="3">
        <f>+G11*2</f>
        <v>32497418</v>
      </c>
      <c r="Q11" s="66">
        <f>+E11-P11</f>
        <v>-4938105</v>
      </c>
    </row>
    <row r="12" spans="1:17" x14ac:dyDescent="0.25">
      <c r="B12" t="s">
        <v>536</v>
      </c>
      <c r="C12" s="9">
        <v>6801116</v>
      </c>
      <c r="D12" s="9"/>
      <c r="E12" s="9">
        <v>7133634</v>
      </c>
      <c r="F12" s="9"/>
      <c r="G12" s="9">
        <f>3141812+1289986</f>
        <v>4431798</v>
      </c>
      <c r="H12" s="9"/>
      <c r="I12" s="9">
        <f t="shared" si="0"/>
        <v>2701836</v>
      </c>
      <c r="L12" s="7">
        <f>+G12/E12</f>
        <v>0.62125390789603163</v>
      </c>
      <c r="N12" s="65">
        <f>+G12/E12</f>
        <v>0.62125390789603163</v>
      </c>
      <c r="O12" s="65">
        <v>0.58333333333333337</v>
      </c>
      <c r="P12" s="3">
        <f>+G12*2</f>
        <v>8863596</v>
      </c>
      <c r="Q12" s="66">
        <f>+E12-P12</f>
        <v>-1729962</v>
      </c>
    </row>
    <row r="13" spans="1:17" x14ac:dyDescent="0.25">
      <c r="B13" t="s">
        <v>537</v>
      </c>
      <c r="C13" s="10">
        <v>823778</v>
      </c>
      <c r="D13" s="10"/>
      <c r="E13" s="10">
        <v>2147843</v>
      </c>
      <c r="F13" s="10"/>
      <c r="G13" s="10">
        <f>477096+685190</f>
        <v>1162286</v>
      </c>
      <c r="H13" s="10"/>
      <c r="I13" s="10">
        <f>+E13-G13</f>
        <v>985557</v>
      </c>
      <c r="L13" s="7">
        <f t="shared" ref="L13:L17" si="1">+G13/E13</f>
        <v>0.54114104243187233</v>
      </c>
    </row>
    <row r="14" spans="1:17" x14ac:dyDescent="0.25">
      <c r="B14" t="s">
        <v>538</v>
      </c>
      <c r="C14" s="10">
        <v>11177393</v>
      </c>
      <c r="D14" s="10"/>
      <c r="E14" s="10">
        <v>11907393</v>
      </c>
      <c r="F14" s="10"/>
      <c r="G14" s="10">
        <f>8161075+10000</f>
        <v>8171075</v>
      </c>
      <c r="H14" s="10"/>
      <c r="I14" s="10">
        <f>+E14-G14</f>
        <v>3736318</v>
      </c>
      <c r="L14" s="7">
        <f t="shared" si="1"/>
        <v>0.68621863744650069</v>
      </c>
    </row>
    <row r="15" spans="1:17" x14ac:dyDescent="0.25">
      <c r="B15" t="s">
        <v>539</v>
      </c>
      <c r="C15" s="10">
        <v>393452</v>
      </c>
      <c r="D15" s="10"/>
      <c r="E15" s="10">
        <v>940960</v>
      </c>
      <c r="F15" s="10"/>
      <c r="G15" s="10">
        <f>172182+418</f>
        <v>172600</v>
      </c>
      <c r="H15" s="10"/>
      <c r="I15" s="10">
        <f t="shared" ref="I15:I17" si="2">+E15-G15</f>
        <v>768360</v>
      </c>
      <c r="L15" s="7">
        <f t="shared" si="1"/>
        <v>0.18342968882843053</v>
      </c>
    </row>
    <row r="16" spans="1:17" x14ac:dyDescent="0.25">
      <c r="B16" t="s">
        <v>541</v>
      </c>
      <c r="C16" s="10">
        <v>384700</v>
      </c>
      <c r="D16" s="10"/>
      <c r="E16" s="10">
        <v>384700</v>
      </c>
      <c r="F16" s="10"/>
      <c r="G16" s="10">
        <v>113468</v>
      </c>
      <c r="H16" s="10"/>
      <c r="I16" s="10">
        <f t="shared" si="2"/>
        <v>271232</v>
      </c>
      <c r="L16" s="7">
        <f t="shared" si="1"/>
        <v>0.29495191057967246</v>
      </c>
    </row>
    <row r="17" spans="2:12" x14ac:dyDescent="0.25">
      <c r="B17" t="s">
        <v>540</v>
      </c>
      <c r="C17" s="10">
        <v>5111953</v>
      </c>
      <c r="D17" s="10"/>
      <c r="E17" s="10">
        <v>25846989</v>
      </c>
      <c r="F17" s="10"/>
      <c r="G17" s="10">
        <f>24421871-600000</f>
        <v>23821871</v>
      </c>
      <c r="H17" s="10"/>
      <c r="I17" s="10">
        <f t="shared" si="2"/>
        <v>2025118</v>
      </c>
      <c r="L17" s="7">
        <f t="shared" si="1"/>
        <v>0.92164975193048604</v>
      </c>
    </row>
    <row r="18" spans="2:12" x14ac:dyDescent="0.25">
      <c r="C18" s="10"/>
      <c r="D18" s="10"/>
      <c r="E18" s="10"/>
      <c r="F18" s="10"/>
      <c r="G18" s="10"/>
      <c r="H18" s="10"/>
      <c r="I18" s="10"/>
    </row>
    <row r="19" spans="2:12" x14ac:dyDescent="0.25">
      <c r="C19" s="10"/>
      <c r="D19" s="10"/>
      <c r="E19" s="10"/>
      <c r="F19" s="10"/>
      <c r="G19" s="10"/>
      <c r="H19" s="10"/>
      <c r="I19" s="10"/>
    </row>
    <row r="20" spans="2:12" x14ac:dyDescent="0.25">
      <c r="C20" s="72">
        <f>SUM(C10:C19)</f>
        <v>142118808</v>
      </c>
      <c r="D20" s="10"/>
      <c r="E20" s="72">
        <f>SUM(E10:E19)</f>
        <v>166595639</v>
      </c>
      <c r="F20" s="10"/>
      <c r="G20" s="72">
        <f>SUM(G10:G19)</f>
        <v>100401038</v>
      </c>
      <c r="H20" s="10"/>
      <c r="I20" s="72">
        <f>SUM(I10:I19)</f>
        <v>66194601</v>
      </c>
      <c r="L20" s="7">
        <f t="shared" ref="L20" si="3">+G20/E20</f>
        <v>0.60266306250669621</v>
      </c>
    </row>
    <row r="21" spans="2:12" x14ac:dyDescent="0.25">
      <c r="C21" s="10"/>
      <c r="D21" s="10"/>
      <c r="E21" s="10">
        <v>165696221</v>
      </c>
      <c r="F21" s="10"/>
      <c r="G21" s="10">
        <v>100325978</v>
      </c>
      <c r="H21" s="10"/>
      <c r="I21" s="10"/>
    </row>
    <row r="22" spans="2:12" x14ac:dyDescent="0.25">
      <c r="C22" s="10"/>
      <c r="D22" s="10"/>
      <c r="E22" s="10">
        <f>+E21-E20</f>
        <v>-899418</v>
      </c>
      <c r="F22" s="10"/>
      <c r="G22" s="10">
        <f>+G21-G20</f>
        <v>-75060</v>
      </c>
      <c r="H22" s="10"/>
      <c r="I22" s="10"/>
    </row>
    <row r="23" spans="2:12" x14ac:dyDescent="0.25">
      <c r="C23" s="10"/>
      <c r="D23" s="10"/>
      <c r="E23" s="10"/>
      <c r="F23" s="10"/>
      <c r="G23" s="10"/>
      <c r="H23" s="10"/>
      <c r="I23" s="10"/>
    </row>
    <row r="24" spans="2:12" x14ac:dyDescent="0.25">
      <c r="C24" s="10"/>
      <c r="D24" s="10"/>
      <c r="E24" s="10"/>
      <c r="F24" s="10"/>
      <c r="G24" s="10"/>
      <c r="H24" s="10"/>
      <c r="I24" s="10"/>
    </row>
    <row r="25" spans="2:12" x14ac:dyDescent="0.25">
      <c r="C25" s="10"/>
      <c r="D25" s="10"/>
      <c r="E25" s="10"/>
      <c r="F25" s="10"/>
      <c r="G25" s="10"/>
      <c r="H25" s="10"/>
      <c r="I25" s="10"/>
    </row>
    <row r="26" spans="2:12" x14ac:dyDescent="0.25">
      <c r="C26" s="10"/>
      <c r="D26" s="10"/>
      <c r="E26" s="10"/>
      <c r="F26" s="10"/>
      <c r="G26" s="10"/>
      <c r="H26" s="10"/>
      <c r="I26" s="10"/>
    </row>
    <row r="27" spans="2:12" x14ac:dyDescent="0.25">
      <c r="C27" s="10"/>
      <c r="D27" s="10"/>
      <c r="E27" s="10"/>
      <c r="F27" s="10"/>
      <c r="G27" s="10"/>
      <c r="H27" s="10"/>
      <c r="I27" s="10"/>
    </row>
    <row r="28" spans="2:12" x14ac:dyDescent="0.25">
      <c r="C28" s="10"/>
      <c r="D28" s="10"/>
      <c r="E28" s="10"/>
      <c r="F28" s="10"/>
      <c r="G28" s="10"/>
      <c r="H28" s="10"/>
      <c r="I28" s="10"/>
    </row>
    <row r="29" spans="2:12" x14ac:dyDescent="0.25">
      <c r="C29" s="10"/>
      <c r="D29" s="10"/>
      <c r="E29" s="10"/>
      <c r="F29" s="10"/>
      <c r="G29" s="10"/>
      <c r="H29" s="10"/>
      <c r="I29" s="10"/>
    </row>
    <row r="30" spans="2:12" x14ac:dyDescent="0.25">
      <c r="C30" s="10"/>
      <c r="D30" s="10"/>
      <c r="E30" s="10"/>
      <c r="F30" s="10"/>
      <c r="G30" s="10"/>
      <c r="H30" s="10"/>
      <c r="I30" s="10"/>
    </row>
    <row r="31" spans="2:12" x14ac:dyDescent="0.25">
      <c r="C31" s="10"/>
      <c r="D31" s="10"/>
      <c r="E31" s="10"/>
      <c r="F31" s="10"/>
      <c r="G31" s="10"/>
      <c r="H31" s="10"/>
      <c r="I31" s="10"/>
    </row>
    <row r="32" spans="2:12" x14ac:dyDescent="0.25">
      <c r="C32" s="10"/>
      <c r="D32" s="10"/>
      <c r="E32" s="10"/>
      <c r="F32" s="10"/>
      <c r="G32" s="10"/>
      <c r="H32" s="10"/>
      <c r="I32" s="10"/>
    </row>
    <row r="33" spans="3:9" x14ac:dyDescent="0.25">
      <c r="C33" s="10"/>
      <c r="D33" s="10"/>
      <c r="E33" s="10"/>
      <c r="F33" s="10"/>
      <c r="G33" s="10"/>
      <c r="H33" s="10"/>
      <c r="I33" s="10"/>
    </row>
    <row r="34" spans="3:9" x14ac:dyDescent="0.25">
      <c r="C34" s="10"/>
      <c r="D34" s="10"/>
      <c r="E34" s="10"/>
      <c r="F34" s="10"/>
      <c r="G34" s="10"/>
      <c r="H34" s="10"/>
      <c r="I34" s="10"/>
    </row>
    <row r="35" spans="3:9" x14ac:dyDescent="0.25">
      <c r="C35" s="10"/>
      <c r="D35" s="10"/>
      <c r="E35" s="10"/>
      <c r="F35" s="10"/>
      <c r="G35" s="10"/>
      <c r="H35" s="10"/>
      <c r="I35" s="10"/>
    </row>
    <row r="36" spans="3:9" x14ac:dyDescent="0.25">
      <c r="C36" s="10"/>
      <c r="D36" s="10"/>
      <c r="E36" s="10"/>
      <c r="F36" s="10"/>
      <c r="G36" s="10"/>
      <c r="H36" s="10"/>
      <c r="I36" s="10"/>
    </row>
    <row r="37" spans="3:9" x14ac:dyDescent="0.25">
      <c r="C37" s="10"/>
      <c r="D37" s="10"/>
      <c r="E37" s="10"/>
      <c r="F37" s="10"/>
      <c r="G37" s="10"/>
      <c r="H37" s="10"/>
      <c r="I37" s="10"/>
    </row>
    <row r="38" spans="3:9" x14ac:dyDescent="0.25">
      <c r="C38" s="10"/>
      <c r="D38" s="10"/>
      <c r="E38" s="10"/>
      <c r="F38" s="10"/>
      <c r="G38" s="10"/>
      <c r="H38" s="10"/>
      <c r="I38" s="10"/>
    </row>
    <row r="39" spans="3:9" x14ac:dyDescent="0.25">
      <c r="C39" s="10"/>
      <c r="D39" s="10"/>
      <c r="E39" s="10"/>
      <c r="F39" s="10"/>
      <c r="G39" s="10"/>
      <c r="H39" s="10"/>
      <c r="I39" s="10"/>
    </row>
    <row r="40" spans="3:9" x14ac:dyDescent="0.25">
      <c r="C40" s="10"/>
      <c r="D40" s="10"/>
      <c r="E40" s="10"/>
      <c r="F40" s="10"/>
      <c r="G40" s="10"/>
      <c r="H40" s="10"/>
      <c r="I40" s="10"/>
    </row>
    <row r="41" spans="3:9" x14ac:dyDescent="0.25">
      <c r="C41" s="10"/>
      <c r="D41" s="10"/>
      <c r="E41" s="10"/>
      <c r="F41" s="10"/>
      <c r="G41" s="10"/>
      <c r="H41" s="10"/>
      <c r="I41" s="10"/>
    </row>
    <row r="42" spans="3:9" x14ac:dyDescent="0.25">
      <c r="C42" s="10"/>
      <c r="D42" s="10"/>
      <c r="E42" s="10"/>
      <c r="F42" s="10"/>
      <c r="G42" s="10"/>
      <c r="H42" s="10"/>
      <c r="I42" s="10"/>
    </row>
    <row r="43" spans="3:9" x14ac:dyDescent="0.25">
      <c r="C43" s="10"/>
      <c r="D43" s="10"/>
      <c r="E43" s="10"/>
      <c r="F43" s="10"/>
      <c r="G43" s="10"/>
      <c r="H43" s="10"/>
      <c r="I43" s="10"/>
    </row>
    <row r="44" spans="3:9" x14ac:dyDescent="0.25">
      <c r="C44" s="10"/>
      <c r="D44" s="10"/>
      <c r="E44" s="10"/>
      <c r="F44" s="10"/>
      <c r="G44" s="10"/>
      <c r="H44" s="10"/>
      <c r="I44" s="10"/>
    </row>
    <row r="45" spans="3:9" x14ac:dyDescent="0.25">
      <c r="C45" s="10"/>
      <c r="D45" s="10"/>
      <c r="E45" s="10"/>
      <c r="F45" s="10"/>
      <c r="G45" s="10"/>
      <c r="H45" s="10"/>
      <c r="I45" s="10"/>
    </row>
    <row r="46" spans="3:9" x14ac:dyDescent="0.25">
      <c r="C46" s="10"/>
      <c r="D46" s="10"/>
      <c r="E46" s="10"/>
      <c r="F46" s="10"/>
      <c r="G46" s="10"/>
      <c r="H46" s="10"/>
      <c r="I46" s="10"/>
    </row>
    <row r="47" spans="3:9" x14ac:dyDescent="0.25">
      <c r="C47" s="10"/>
      <c r="D47" s="10"/>
      <c r="E47" s="10"/>
      <c r="F47" s="10"/>
      <c r="G47" s="10"/>
      <c r="H47" s="10"/>
      <c r="I47" s="10"/>
    </row>
    <row r="48" spans="3:9" x14ac:dyDescent="0.25">
      <c r="C48" s="10"/>
      <c r="D48" s="10"/>
      <c r="E48" s="10"/>
      <c r="F48" s="10"/>
      <c r="G48" s="10"/>
      <c r="H48" s="10"/>
      <c r="I48" s="10"/>
    </row>
    <row r="49" spans="3:9" x14ac:dyDescent="0.25">
      <c r="C49" s="10"/>
      <c r="D49" s="10"/>
      <c r="E49" s="10"/>
      <c r="F49" s="10"/>
      <c r="G49" s="10"/>
      <c r="H49" s="10"/>
      <c r="I49" s="10"/>
    </row>
    <row r="50" spans="3:9" x14ac:dyDescent="0.25">
      <c r="C50" s="10"/>
      <c r="D50" s="10"/>
      <c r="E50" s="10"/>
      <c r="F50" s="10"/>
      <c r="G50" s="10"/>
      <c r="H50" s="10"/>
      <c r="I50" s="10"/>
    </row>
    <row r="51" spans="3:9" x14ac:dyDescent="0.25">
      <c r="C51" s="10"/>
      <c r="D51" s="10"/>
      <c r="E51" s="10"/>
      <c r="F51" s="10"/>
      <c r="G51" s="10"/>
      <c r="H51" s="10"/>
      <c r="I51" s="10"/>
    </row>
    <row r="52" spans="3:9" x14ac:dyDescent="0.25">
      <c r="C52" s="10"/>
      <c r="D52" s="10"/>
      <c r="E52" s="10"/>
      <c r="F52" s="10"/>
      <c r="G52" s="10"/>
      <c r="H52" s="10"/>
      <c r="I52" s="10"/>
    </row>
    <row r="53" spans="3:9" x14ac:dyDescent="0.25">
      <c r="C53" s="10"/>
      <c r="D53" s="10"/>
      <c r="E53" s="10"/>
      <c r="F53" s="10"/>
      <c r="G53" s="10"/>
      <c r="H53" s="10"/>
      <c r="I53" s="10"/>
    </row>
    <row r="54" spans="3:9" x14ac:dyDescent="0.25">
      <c r="C54" s="10"/>
      <c r="D54" s="10"/>
      <c r="E54" s="10"/>
      <c r="F54" s="10"/>
      <c r="G54" s="10"/>
      <c r="H54" s="10"/>
      <c r="I54" s="10"/>
    </row>
    <row r="55" spans="3:9" x14ac:dyDescent="0.25">
      <c r="C55" s="10"/>
      <c r="D55" s="10"/>
      <c r="E55" s="10"/>
      <c r="F55" s="10"/>
      <c r="G55" s="10"/>
      <c r="H55" s="10"/>
      <c r="I55" s="10"/>
    </row>
    <row r="56" spans="3:9" x14ac:dyDescent="0.25">
      <c r="C56" s="10"/>
      <c r="D56" s="10"/>
      <c r="E56" s="10"/>
      <c r="F56" s="10"/>
      <c r="G56" s="10"/>
      <c r="H56" s="10"/>
      <c r="I56" s="10"/>
    </row>
    <row r="57" spans="3:9" x14ac:dyDescent="0.25">
      <c r="C57" s="10"/>
      <c r="D57" s="10"/>
      <c r="E57" s="10"/>
      <c r="F57" s="10"/>
      <c r="G57" s="10"/>
      <c r="H57" s="10"/>
      <c r="I57" s="10"/>
    </row>
    <row r="58" spans="3:9" x14ac:dyDescent="0.25">
      <c r="C58" s="10"/>
      <c r="D58" s="10"/>
      <c r="E58" s="10"/>
      <c r="F58" s="10"/>
      <c r="G58" s="10"/>
      <c r="H58" s="10"/>
      <c r="I58" s="10"/>
    </row>
    <row r="59" spans="3:9" x14ac:dyDescent="0.25">
      <c r="C59" s="10"/>
      <c r="D59" s="10"/>
      <c r="E59" s="10"/>
      <c r="F59" s="10"/>
      <c r="G59" s="10"/>
      <c r="H59" s="10"/>
      <c r="I59" s="10"/>
    </row>
    <row r="60" spans="3:9" x14ac:dyDescent="0.25">
      <c r="C60" s="10"/>
      <c r="D60" s="10"/>
      <c r="E60" s="10"/>
      <c r="F60" s="10"/>
      <c r="G60" s="10"/>
      <c r="H60" s="10"/>
      <c r="I60" s="10"/>
    </row>
    <row r="61" spans="3:9" x14ac:dyDescent="0.25">
      <c r="C61" s="10"/>
      <c r="D61" s="10"/>
      <c r="E61" s="10"/>
      <c r="F61" s="10"/>
      <c r="G61" s="10"/>
      <c r="H61" s="10"/>
      <c r="I61" s="10"/>
    </row>
    <row r="62" spans="3:9" x14ac:dyDescent="0.25">
      <c r="C62" s="10"/>
      <c r="D62" s="10"/>
      <c r="E62" s="10"/>
      <c r="F62" s="10"/>
      <c r="G62" s="10"/>
      <c r="H62" s="10"/>
      <c r="I62" s="10"/>
    </row>
    <row r="63" spans="3:9" x14ac:dyDescent="0.25">
      <c r="C63" s="10"/>
      <c r="D63" s="10"/>
      <c r="E63" s="10"/>
      <c r="F63" s="10"/>
      <c r="G63" s="10"/>
      <c r="H63" s="10"/>
      <c r="I63" s="10"/>
    </row>
    <row r="64" spans="3:9" x14ac:dyDescent="0.25">
      <c r="C64" s="10"/>
      <c r="D64" s="10"/>
      <c r="E64" s="10"/>
      <c r="F64" s="10"/>
      <c r="G64" s="10"/>
      <c r="H64" s="10"/>
      <c r="I64" s="10"/>
    </row>
    <row r="65" spans="3:9" x14ac:dyDescent="0.25">
      <c r="C65" s="10"/>
      <c r="D65" s="10"/>
      <c r="E65" s="10"/>
      <c r="F65" s="10"/>
      <c r="G65" s="10"/>
      <c r="H65" s="10"/>
      <c r="I65" s="10"/>
    </row>
    <row r="66" spans="3:9" x14ac:dyDescent="0.25">
      <c r="C66" s="10"/>
      <c r="D66" s="10"/>
      <c r="E66" s="10"/>
      <c r="F66" s="10"/>
      <c r="G66" s="10"/>
      <c r="H66" s="10"/>
      <c r="I66" s="10"/>
    </row>
    <row r="67" spans="3:9" x14ac:dyDescent="0.25">
      <c r="C67" s="10"/>
      <c r="D67" s="10"/>
      <c r="E67" s="10"/>
      <c r="F67" s="10"/>
      <c r="G67" s="10"/>
      <c r="H67" s="10"/>
      <c r="I67" s="10"/>
    </row>
    <row r="68" spans="3:9" x14ac:dyDescent="0.25">
      <c r="C68" s="10"/>
      <c r="D68" s="10"/>
      <c r="E68" s="10"/>
      <c r="F68" s="10"/>
      <c r="G68" s="10"/>
      <c r="H68" s="10"/>
      <c r="I68" s="10"/>
    </row>
    <row r="69" spans="3:9" x14ac:dyDescent="0.25">
      <c r="C69" s="10"/>
      <c r="D69" s="10"/>
      <c r="E69" s="10"/>
      <c r="F69" s="10"/>
      <c r="G69" s="10"/>
      <c r="H69" s="10"/>
      <c r="I69" s="10"/>
    </row>
    <row r="70" spans="3:9" x14ac:dyDescent="0.25">
      <c r="C70" s="10"/>
      <c r="D70" s="10"/>
      <c r="E70" s="10"/>
      <c r="F70" s="10"/>
      <c r="G70" s="10"/>
      <c r="H70" s="10"/>
      <c r="I70" s="10"/>
    </row>
    <row r="71" spans="3:9" x14ac:dyDescent="0.25">
      <c r="C71" s="10"/>
      <c r="D71" s="10"/>
      <c r="E71" s="10"/>
      <c r="F71" s="10"/>
      <c r="G71" s="10"/>
      <c r="H71" s="10"/>
      <c r="I71" s="10"/>
    </row>
    <row r="72" spans="3:9" x14ac:dyDescent="0.25">
      <c r="C72" s="10"/>
      <c r="D72" s="10"/>
      <c r="E72" s="10"/>
      <c r="F72" s="10"/>
      <c r="G72" s="10"/>
      <c r="H72" s="10"/>
      <c r="I72" s="10"/>
    </row>
    <row r="73" spans="3:9" x14ac:dyDescent="0.25">
      <c r="C73" s="10"/>
      <c r="D73" s="10"/>
      <c r="E73" s="10"/>
      <c r="F73" s="10"/>
      <c r="G73" s="10"/>
      <c r="H73" s="10"/>
      <c r="I73" s="10"/>
    </row>
    <row r="74" spans="3:9" x14ac:dyDescent="0.25">
      <c r="C74" s="10"/>
      <c r="D74" s="10"/>
      <c r="E74" s="10"/>
      <c r="F74" s="10"/>
      <c r="G74" s="10"/>
      <c r="H74" s="10"/>
      <c r="I74" s="10"/>
    </row>
    <row r="75" spans="3:9" x14ac:dyDescent="0.25">
      <c r="C75" s="10"/>
      <c r="D75" s="10"/>
      <c r="E75" s="10"/>
      <c r="F75" s="10"/>
      <c r="G75" s="10"/>
      <c r="H75" s="10"/>
      <c r="I75" s="10"/>
    </row>
    <row r="76" spans="3:9" x14ac:dyDescent="0.25">
      <c r="C76" s="10"/>
      <c r="D76" s="10"/>
      <c r="E76" s="10"/>
      <c r="F76" s="10"/>
      <c r="G76" s="10"/>
      <c r="H76" s="10"/>
      <c r="I76" s="10"/>
    </row>
    <row r="77" spans="3:9" x14ac:dyDescent="0.25">
      <c r="C77" s="10"/>
      <c r="D77" s="10"/>
      <c r="E77" s="10"/>
      <c r="F77" s="10"/>
      <c r="G77" s="10"/>
      <c r="H77" s="10"/>
      <c r="I77" s="10"/>
    </row>
    <row r="78" spans="3:9" x14ac:dyDescent="0.25">
      <c r="C78" s="10"/>
      <c r="D78" s="10"/>
      <c r="E78" s="10"/>
      <c r="F78" s="10"/>
      <c r="G78" s="10"/>
      <c r="H78" s="10"/>
      <c r="I78" s="10"/>
    </row>
    <row r="79" spans="3:9" x14ac:dyDescent="0.25">
      <c r="C79" s="10"/>
      <c r="D79" s="10"/>
      <c r="E79" s="10"/>
      <c r="F79" s="10"/>
      <c r="G79" s="10"/>
      <c r="H79" s="10"/>
      <c r="I79" s="10"/>
    </row>
    <row r="80" spans="3:9" x14ac:dyDescent="0.25">
      <c r="C80" s="10"/>
      <c r="D80" s="10"/>
      <c r="E80" s="10"/>
      <c r="F80" s="10"/>
      <c r="G80" s="10"/>
      <c r="H80" s="10"/>
      <c r="I80" s="10"/>
    </row>
    <row r="81" spans="3:9" x14ac:dyDescent="0.25">
      <c r="C81" s="10"/>
      <c r="D81" s="10"/>
      <c r="E81" s="10"/>
      <c r="F81" s="10"/>
      <c r="G81" s="10"/>
      <c r="H81" s="10"/>
      <c r="I81" s="10"/>
    </row>
    <row r="82" spans="3:9" x14ac:dyDescent="0.25">
      <c r="C82" s="10"/>
      <c r="D82" s="10"/>
      <c r="E82" s="10"/>
      <c r="F82" s="10"/>
      <c r="G82" s="10"/>
      <c r="H82" s="10"/>
      <c r="I82" s="10"/>
    </row>
    <row r="83" spans="3:9" x14ac:dyDescent="0.25">
      <c r="C83" s="10"/>
      <c r="D83" s="10"/>
      <c r="E83" s="10"/>
      <c r="F83" s="10"/>
      <c r="G83" s="10"/>
      <c r="H83" s="10"/>
      <c r="I83" s="10"/>
    </row>
    <row r="84" spans="3:9" x14ac:dyDescent="0.25">
      <c r="C84" s="10"/>
      <c r="D84" s="10"/>
      <c r="E84" s="10"/>
      <c r="F84" s="10"/>
      <c r="G84" s="10"/>
      <c r="H84" s="10"/>
      <c r="I84" s="10"/>
    </row>
    <row r="85" spans="3:9" x14ac:dyDescent="0.25">
      <c r="C85" s="10"/>
      <c r="D85" s="10"/>
      <c r="E85" s="10"/>
      <c r="F85" s="10"/>
      <c r="G85" s="10"/>
      <c r="H85" s="10"/>
      <c r="I85" s="10"/>
    </row>
    <row r="86" spans="3:9" x14ac:dyDescent="0.25">
      <c r="C86" s="10"/>
      <c r="D86" s="10"/>
      <c r="E86" s="10"/>
      <c r="F86" s="10"/>
      <c r="G86" s="10"/>
      <c r="H86" s="10"/>
      <c r="I86" s="10"/>
    </row>
    <row r="87" spans="3:9" x14ac:dyDescent="0.25">
      <c r="C87" s="10"/>
      <c r="D87" s="10"/>
      <c r="E87" s="10"/>
      <c r="F87" s="10"/>
      <c r="G87" s="10"/>
      <c r="H87" s="10"/>
      <c r="I87" s="10"/>
    </row>
    <row r="88" spans="3:9" x14ac:dyDescent="0.25">
      <c r="C88" s="10"/>
      <c r="D88" s="10"/>
      <c r="E88" s="10"/>
      <c r="F88" s="10"/>
      <c r="G88" s="10"/>
      <c r="H88" s="10"/>
      <c r="I88" s="10"/>
    </row>
    <row r="89" spans="3:9" x14ac:dyDescent="0.25">
      <c r="C89" s="10"/>
      <c r="D89" s="10"/>
      <c r="E89" s="10"/>
      <c r="F89" s="10"/>
      <c r="G89" s="10"/>
      <c r="H89" s="10"/>
      <c r="I89" s="10"/>
    </row>
    <row r="90" spans="3:9" x14ac:dyDescent="0.25">
      <c r="C90" s="10"/>
      <c r="D90" s="10"/>
      <c r="E90" s="10"/>
      <c r="F90" s="10"/>
      <c r="G90" s="10"/>
      <c r="H90" s="10"/>
      <c r="I90" s="10"/>
    </row>
    <row r="91" spans="3:9" x14ac:dyDescent="0.25">
      <c r="C91" s="10"/>
      <c r="D91" s="10"/>
      <c r="E91" s="10"/>
      <c r="F91" s="10"/>
      <c r="G91" s="10"/>
      <c r="H91" s="10"/>
      <c r="I91" s="10"/>
    </row>
    <row r="92" spans="3:9" x14ac:dyDescent="0.25">
      <c r="C92" s="10"/>
      <c r="D92" s="10"/>
      <c r="E92" s="10"/>
      <c r="F92" s="10"/>
      <c r="G92" s="10"/>
      <c r="H92" s="10"/>
      <c r="I92" s="10"/>
    </row>
    <row r="93" spans="3:9" x14ac:dyDescent="0.25">
      <c r="C93" s="10"/>
      <c r="D93" s="10"/>
      <c r="E93" s="10"/>
      <c r="F93" s="10"/>
      <c r="G93" s="10"/>
      <c r="H93" s="10"/>
      <c r="I93" s="10"/>
    </row>
    <row r="94" spans="3:9" x14ac:dyDescent="0.25">
      <c r="C94" s="10"/>
      <c r="D94" s="10"/>
      <c r="E94" s="10"/>
      <c r="F94" s="10"/>
      <c r="G94" s="10"/>
      <c r="H94" s="10"/>
      <c r="I94" s="10"/>
    </row>
    <row r="95" spans="3:9" x14ac:dyDescent="0.25">
      <c r="C95" s="10"/>
      <c r="D95" s="10"/>
      <c r="E95" s="10"/>
      <c r="F95" s="10"/>
      <c r="G95" s="10"/>
      <c r="H95" s="10"/>
      <c r="I95" s="10"/>
    </row>
    <row r="96" spans="3:9" x14ac:dyDescent="0.25">
      <c r="C96" s="10"/>
      <c r="D96" s="10"/>
      <c r="E96" s="10"/>
      <c r="F96" s="10"/>
      <c r="G96" s="10"/>
      <c r="H96" s="10"/>
      <c r="I96" s="10"/>
    </row>
    <row r="97" spans="3:9" x14ac:dyDescent="0.25">
      <c r="C97" s="10"/>
      <c r="D97" s="10"/>
      <c r="E97" s="10"/>
      <c r="F97" s="10"/>
      <c r="G97" s="10"/>
      <c r="H97" s="10"/>
      <c r="I97" s="10"/>
    </row>
    <row r="98" spans="3:9" x14ac:dyDescent="0.25">
      <c r="C98" s="10"/>
      <c r="D98" s="10"/>
      <c r="E98" s="10"/>
      <c r="F98" s="10"/>
      <c r="G98" s="10"/>
      <c r="H98" s="10"/>
      <c r="I98" s="10"/>
    </row>
    <row r="99" spans="3:9" x14ac:dyDescent="0.25">
      <c r="C99" s="10"/>
      <c r="D99" s="10"/>
      <c r="E99" s="10"/>
      <c r="F99" s="10"/>
      <c r="G99" s="10"/>
      <c r="H99" s="10"/>
      <c r="I99" s="10"/>
    </row>
    <row r="100" spans="3:9" x14ac:dyDescent="0.25">
      <c r="C100" s="10"/>
      <c r="D100" s="10"/>
      <c r="E100" s="10"/>
      <c r="F100" s="10"/>
      <c r="G100" s="10"/>
      <c r="H100" s="10"/>
      <c r="I100" s="10"/>
    </row>
    <row r="101" spans="3:9" x14ac:dyDescent="0.25">
      <c r="C101" s="10"/>
      <c r="D101" s="10"/>
      <c r="E101" s="10"/>
      <c r="F101" s="10"/>
      <c r="G101" s="10"/>
      <c r="H101" s="10"/>
      <c r="I101" s="10"/>
    </row>
    <row r="102" spans="3:9" x14ac:dyDescent="0.25">
      <c r="C102" s="10"/>
      <c r="D102" s="10"/>
      <c r="E102" s="10"/>
      <c r="F102" s="10"/>
      <c r="G102" s="10"/>
      <c r="H102" s="10"/>
      <c r="I102" s="10"/>
    </row>
    <row r="103" spans="3:9" x14ac:dyDescent="0.25">
      <c r="C103" s="10"/>
      <c r="D103" s="10"/>
      <c r="E103" s="10"/>
      <c r="F103" s="10"/>
      <c r="G103" s="10"/>
      <c r="H103" s="10"/>
      <c r="I103" s="10"/>
    </row>
    <row r="104" spans="3:9" x14ac:dyDescent="0.25">
      <c r="C104" s="10"/>
      <c r="D104" s="10"/>
      <c r="E104" s="10"/>
      <c r="F104" s="10"/>
      <c r="G104" s="10"/>
      <c r="H104" s="10"/>
      <c r="I104" s="10"/>
    </row>
    <row r="105" spans="3:9" x14ac:dyDescent="0.25">
      <c r="C105" s="10"/>
      <c r="D105" s="10"/>
      <c r="E105" s="10"/>
      <c r="F105" s="10"/>
      <c r="G105" s="10"/>
      <c r="H105" s="10"/>
      <c r="I105" s="10"/>
    </row>
    <row r="106" spans="3:9" x14ac:dyDescent="0.25">
      <c r="C106" s="10"/>
      <c r="D106" s="10"/>
      <c r="E106" s="10"/>
      <c r="F106" s="10"/>
      <c r="G106" s="10"/>
      <c r="H106" s="10"/>
      <c r="I106" s="10"/>
    </row>
    <row r="107" spans="3:9" x14ac:dyDescent="0.25">
      <c r="C107" s="10"/>
      <c r="D107" s="10"/>
      <c r="E107" s="10"/>
      <c r="F107" s="10"/>
      <c r="G107" s="10"/>
      <c r="H107" s="10"/>
      <c r="I107" s="10"/>
    </row>
    <row r="108" spans="3:9" x14ac:dyDescent="0.25">
      <c r="C108" s="10"/>
      <c r="D108" s="10"/>
      <c r="E108" s="10"/>
      <c r="F108" s="10"/>
      <c r="G108" s="10"/>
      <c r="H108" s="10"/>
      <c r="I108" s="10"/>
    </row>
    <row r="109" spans="3:9" x14ac:dyDescent="0.25">
      <c r="C109" s="10"/>
      <c r="D109" s="10"/>
      <c r="E109" s="10"/>
      <c r="F109" s="10"/>
      <c r="G109" s="10"/>
      <c r="H109" s="10"/>
      <c r="I109" s="10"/>
    </row>
    <row r="110" spans="3:9" x14ac:dyDescent="0.25">
      <c r="C110" s="10"/>
      <c r="D110" s="10"/>
      <c r="E110" s="10"/>
      <c r="F110" s="10"/>
      <c r="G110" s="10"/>
      <c r="H110" s="10"/>
      <c r="I110" s="10"/>
    </row>
    <row r="111" spans="3:9" x14ac:dyDescent="0.25">
      <c r="C111" s="10"/>
      <c r="D111" s="10"/>
      <c r="E111" s="10"/>
      <c r="F111" s="10"/>
      <c r="G111" s="10"/>
      <c r="H111" s="10"/>
      <c r="I111" s="10"/>
    </row>
    <row r="112" spans="3:9" x14ac:dyDescent="0.25">
      <c r="C112" s="10"/>
      <c r="D112" s="10"/>
      <c r="E112" s="10"/>
      <c r="F112" s="10"/>
      <c r="G112" s="10"/>
      <c r="H112" s="10"/>
      <c r="I112" s="10"/>
    </row>
    <row r="113" spans="3:9" x14ac:dyDescent="0.25">
      <c r="C113" s="10"/>
      <c r="D113" s="10"/>
      <c r="E113" s="10"/>
      <c r="F113" s="10"/>
      <c r="G113" s="10"/>
      <c r="H113" s="10"/>
      <c r="I113" s="10"/>
    </row>
    <row r="114" spans="3:9" x14ac:dyDescent="0.25">
      <c r="C114" s="10"/>
      <c r="D114" s="10"/>
      <c r="E114" s="10"/>
      <c r="F114" s="10"/>
      <c r="G114" s="10"/>
      <c r="H114" s="10"/>
      <c r="I114" s="10"/>
    </row>
    <row r="115" spans="3:9" x14ac:dyDescent="0.25">
      <c r="C115" s="10"/>
      <c r="D115" s="10"/>
      <c r="E115" s="10"/>
      <c r="F115" s="10"/>
      <c r="G115" s="10"/>
      <c r="H115" s="10"/>
      <c r="I115" s="10"/>
    </row>
    <row r="116" spans="3:9" x14ac:dyDescent="0.25">
      <c r="C116" s="10"/>
      <c r="D116" s="10"/>
      <c r="E116" s="10"/>
      <c r="F116" s="10"/>
      <c r="G116" s="10"/>
      <c r="H116" s="10"/>
      <c r="I116" s="10"/>
    </row>
    <row r="117" spans="3:9" x14ac:dyDescent="0.25">
      <c r="C117" s="10"/>
      <c r="D117" s="10"/>
      <c r="E117" s="10"/>
      <c r="F117" s="10"/>
      <c r="G117" s="10"/>
      <c r="H117" s="10"/>
      <c r="I117" s="10"/>
    </row>
    <row r="118" spans="3:9" x14ac:dyDescent="0.25">
      <c r="C118" s="10"/>
      <c r="D118" s="10"/>
      <c r="E118" s="10"/>
      <c r="F118" s="10"/>
      <c r="G118" s="10"/>
      <c r="H118" s="10"/>
      <c r="I118" s="10"/>
    </row>
    <row r="119" spans="3:9" x14ac:dyDescent="0.25">
      <c r="C119" s="10"/>
      <c r="D119" s="10"/>
      <c r="E119" s="10"/>
      <c r="F119" s="10"/>
      <c r="G119" s="10"/>
      <c r="H119" s="10"/>
      <c r="I119" s="10"/>
    </row>
    <row r="120" spans="3:9" x14ac:dyDescent="0.25">
      <c r="C120" s="10"/>
      <c r="D120" s="10"/>
      <c r="E120" s="10"/>
      <c r="F120" s="10"/>
      <c r="G120" s="10"/>
      <c r="H120" s="10"/>
      <c r="I120" s="10"/>
    </row>
    <row r="121" spans="3:9" x14ac:dyDescent="0.25">
      <c r="C121" s="10"/>
      <c r="D121" s="10"/>
      <c r="E121" s="10"/>
      <c r="F121" s="10"/>
      <c r="G121" s="10"/>
      <c r="H121" s="10"/>
      <c r="I121" s="10"/>
    </row>
    <row r="122" spans="3:9" x14ac:dyDescent="0.25">
      <c r="C122" s="10"/>
      <c r="D122" s="10"/>
      <c r="E122" s="10"/>
      <c r="F122" s="10"/>
      <c r="G122" s="10"/>
      <c r="H122" s="10"/>
      <c r="I122" s="10"/>
    </row>
    <row r="123" spans="3:9" x14ac:dyDescent="0.25">
      <c r="C123" s="10"/>
      <c r="D123" s="10"/>
      <c r="E123" s="10"/>
      <c r="F123" s="10"/>
      <c r="G123" s="10"/>
      <c r="H123" s="10"/>
      <c r="I123" s="10"/>
    </row>
    <row r="124" spans="3:9" x14ac:dyDescent="0.25">
      <c r="C124" s="10"/>
      <c r="D124" s="10"/>
      <c r="E124" s="10"/>
      <c r="F124" s="10"/>
      <c r="G124" s="10"/>
      <c r="H124" s="10"/>
      <c r="I124" s="10"/>
    </row>
    <row r="125" spans="3:9" x14ac:dyDescent="0.25">
      <c r="C125" s="10"/>
      <c r="D125" s="10"/>
      <c r="E125" s="10"/>
      <c r="F125" s="10"/>
      <c r="G125" s="10"/>
      <c r="H125" s="10"/>
      <c r="I125" s="10"/>
    </row>
    <row r="126" spans="3:9" x14ac:dyDescent="0.25">
      <c r="C126" s="10"/>
      <c r="D126" s="10"/>
      <c r="E126" s="10"/>
      <c r="F126" s="10"/>
      <c r="G126" s="10"/>
      <c r="H126" s="10"/>
      <c r="I126" s="10"/>
    </row>
    <row r="127" spans="3:9" x14ac:dyDescent="0.25">
      <c r="C127" s="10"/>
      <c r="D127" s="10"/>
      <c r="E127" s="10"/>
      <c r="F127" s="10"/>
      <c r="G127" s="10"/>
      <c r="H127" s="10"/>
      <c r="I127" s="10"/>
    </row>
    <row r="128" spans="3:9" x14ac:dyDescent="0.25">
      <c r="C128" s="10"/>
      <c r="D128" s="10"/>
      <c r="E128" s="10"/>
      <c r="F128" s="10"/>
      <c r="G128" s="10"/>
      <c r="H128" s="10"/>
      <c r="I128" s="10"/>
    </row>
    <row r="129" spans="3:9" x14ac:dyDescent="0.25">
      <c r="C129" s="10"/>
      <c r="D129" s="10"/>
      <c r="E129" s="10"/>
      <c r="F129" s="10"/>
      <c r="G129" s="10"/>
      <c r="H129" s="10"/>
      <c r="I129" s="10"/>
    </row>
    <row r="130" spans="3:9" x14ac:dyDescent="0.25">
      <c r="C130" s="10"/>
      <c r="D130" s="10"/>
      <c r="E130" s="10"/>
      <c r="F130" s="10"/>
      <c r="G130" s="10"/>
      <c r="H130" s="10"/>
      <c r="I130" s="10"/>
    </row>
    <row r="131" spans="3:9" x14ac:dyDescent="0.25">
      <c r="C131" s="10"/>
      <c r="D131" s="10"/>
      <c r="E131" s="10"/>
      <c r="F131" s="10"/>
      <c r="G131" s="10"/>
      <c r="H131" s="10"/>
      <c r="I131" s="10"/>
    </row>
    <row r="132" spans="3:9" x14ac:dyDescent="0.25">
      <c r="C132" s="10"/>
      <c r="D132" s="10"/>
      <c r="E132" s="10"/>
      <c r="F132" s="10"/>
      <c r="G132" s="10"/>
      <c r="H132" s="10"/>
      <c r="I132" s="10"/>
    </row>
    <row r="133" spans="3:9" x14ac:dyDescent="0.25">
      <c r="C133" s="10"/>
      <c r="D133" s="10"/>
      <c r="E133" s="10"/>
      <c r="F133" s="10"/>
      <c r="G133" s="10"/>
      <c r="H133" s="10"/>
      <c r="I133" s="10"/>
    </row>
    <row r="134" spans="3:9" x14ac:dyDescent="0.25">
      <c r="C134" s="10"/>
      <c r="D134" s="10"/>
      <c r="E134" s="10"/>
      <c r="F134" s="10"/>
      <c r="G134" s="10"/>
      <c r="H134" s="10"/>
      <c r="I134" s="10"/>
    </row>
    <row r="135" spans="3:9" x14ac:dyDescent="0.25">
      <c r="C135" s="10"/>
      <c r="D135" s="10"/>
      <c r="E135" s="10"/>
      <c r="F135" s="10"/>
      <c r="G135" s="10"/>
      <c r="H135" s="10"/>
      <c r="I135" s="10"/>
    </row>
    <row r="136" spans="3:9" x14ac:dyDescent="0.25">
      <c r="C136" s="10"/>
      <c r="D136" s="10"/>
      <c r="E136" s="10"/>
      <c r="F136" s="10"/>
      <c r="G136" s="10"/>
      <c r="H136" s="10"/>
      <c r="I136" s="10"/>
    </row>
    <row r="137" spans="3:9" x14ac:dyDescent="0.25">
      <c r="C137" s="10"/>
      <c r="D137" s="10"/>
      <c r="E137" s="10"/>
      <c r="F137" s="10"/>
      <c r="G137" s="10"/>
      <c r="H137" s="10"/>
      <c r="I137" s="10"/>
    </row>
    <row r="138" spans="3:9" x14ac:dyDescent="0.25">
      <c r="C138" s="10"/>
      <c r="D138" s="10"/>
      <c r="E138" s="10"/>
      <c r="F138" s="10"/>
      <c r="G138" s="10"/>
      <c r="H138" s="10"/>
      <c r="I138" s="10"/>
    </row>
    <row r="139" spans="3:9" x14ac:dyDescent="0.25">
      <c r="C139" s="10"/>
      <c r="D139" s="10"/>
      <c r="E139" s="10"/>
      <c r="F139" s="10"/>
      <c r="G139" s="10"/>
      <c r="H139" s="10"/>
      <c r="I139" s="10"/>
    </row>
    <row r="140" spans="3:9" x14ac:dyDescent="0.25">
      <c r="C140" s="10"/>
      <c r="D140" s="10"/>
      <c r="E140" s="10"/>
      <c r="F140" s="10"/>
      <c r="G140" s="10"/>
      <c r="H140" s="10"/>
      <c r="I140" s="10"/>
    </row>
    <row r="141" spans="3:9" x14ac:dyDescent="0.25">
      <c r="C141" s="10"/>
      <c r="D141" s="10"/>
      <c r="E141" s="10"/>
      <c r="F141" s="10"/>
      <c r="G141" s="10"/>
      <c r="H141" s="10"/>
      <c r="I141" s="10"/>
    </row>
    <row r="142" spans="3:9" x14ac:dyDescent="0.25">
      <c r="C142" s="10"/>
      <c r="D142" s="10"/>
      <c r="E142" s="10"/>
      <c r="F142" s="10"/>
      <c r="G142" s="10"/>
      <c r="H142" s="10"/>
      <c r="I142" s="10"/>
    </row>
    <row r="143" spans="3:9" x14ac:dyDescent="0.25">
      <c r="C143" s="10"/>
      <c r="D143" s="10"/>
      <c r="E143" s="10"/>
      <c r="F143" s="10"/>
      <c r="G143" s="10"/>
      <c r="H143" s="10"/>
      <c r="I143" s="10"/>
    </row>
    <row r="144" spans="3:9" x14ac:dyDescent="0.25">
      <c r="C144" s="10"/>
      <c r="D144" s="10"/>
      <c r="E144" s="10"/>
      <c r="F144" s="10"/>
      <c r="G144" s="10"/>
      <c r="H144" s="10"/>
      <c r="I144" s="10"/>
    </row>
    <row r="145" spans="3:9" x14ac:dyDescent="0.25">
      <c r="C145" s="10"/>
      <c r="D145" s="10"/>
      <c r="E145" s="10"/>
      <c r="F145" s="10"/>
      <c r="G145" s="10"/>
      <c r="H145" s="10"/>
      <c r="I145" s="10"/>
    </row>
    <row r="146" spans="3:9" x14ac:dyDescent="0.25">
      <c r="C146" s="10"/>
      <c r="D146" s="10"/>
      <c r="E146" s="10"/>
      <c r="F146" s="10"/>
      <c r="G146" s="10"/>
      <c r="H146" s="10"/>
      <c r="I146" s="10"/>
    </row>
    <row r="147" spans="3:9" x14ac:dyDescent="0.25">
      <c r="C147" s="10"/>
      <c r="D147" s="10"/>
      <c r="E147" s="10"/>
      <c r="F147" s="10"/>
      <c r="G147" s="10"/>
      <c r="H147" s="10"/>
      <c r="I147" s="10"/>
    </row>
    <row r="148" spans="3:9" x14ac:dyDescent="0.25">
      <c r="C148" s="10"/>
      <c r="D148" s="10"/>
      <c r="E148" s="10"/>
      <c r="F148" s="10"/>
      <c r="G148" s="10"/>
      <c r="H148" s="10"/>
      <c r="I148" s="10"/>
    </row>
    <row r="149" spans="3:9" x14ac:dyDescent="0.25">
      <c r="C149" s="10"/>
      <c r="D149" s="10"/>
      <c r="E149" s="10"/>
      <c r="F149" s="10"/>
      <c r="G149" s="10"/>
      <c r="H149" s="10"/>
      <c r="I149" s="10"/>
    </row>
    <row r="150" spans="3:9" x14ac:dyDescent="0.25">
      <c r="C150" s="10"/>
      <c r="D150" s="10"/>
      <c r="E150" s="10"/>
      <c r="F150" s="10"/>
      <c r="G150" s="10"/>
      <c r="H150" s="10"/>
      <c r="I150" s="10"/>
    </row>
    <row r="151" spans="3:9" x14ac:dyDescent="0.25">
      <c r="C151" s="10"/>
      <c r="D151" s="10"/>
      <c r="E151" s="10"/>
      <c r="F151" s="10"/>
      <c r="G151" s="10"/>
      <c r="H151" s="10"/>
      <c r="I151" s="10"/>
    </row>
    <row r="152" spans="3:9" x14ac:dyDescent="0.25">
      <c r="C152" s="10"/>
      <c r="D152" s="10"/>
      <c r="E152" s="10"/>
      <c r="F152" s="10"/>
      <c r="G152" s="10"/>
      <c r="H152" s="10"/>
      <c r="I152" s="10"/>
    </row>
    <row r="153" spans="3:9" x14ac:dyDescent="0.25">
      <c r="C153" s="10"/>
      <c r="D153" s="10"/>
      <c r="E153" s="10"/>
      <c r="F153" s="10"/>
      <c r="G153" s="10"/>
      <c r="H153" s="10"/>
      <c r="I153" s="10"/>
    </row>
    <row r="154" spans="3:9" x14ac:dyDescent="0.25">
      <c r="C154" s="10"/>
      <c r="D154" s="10"/>
      <c r="E154" s="10"/>
      <c r="F154" s="10"/>
      <c r="G154" s="10"/>
      <c r="H154" s="10"/>
      <c r="I154" s="10"/>
    </row>
    <row r="155" spans="3:9" x14ac:dyDescent="0.25">
      <c r="C155" s="10"/>
      <c r="D155" s="10"/>
      <c r="E155" s="10"/>
      <c r="F155" s="10"/>
      <c r="G155" s="10"/>
      <c r="H155" s="10"/>
      <c r="I155" s="10"/>
    </row>
    <row r="156" spans="3:9" x14ac:dyDescent="0.25">
      <c r="C156" s="10"/>
      <c r="D156" s="10"/>
      <c r="E156" s="10"/>
      <c r="F156" s="10"/>
      <c r="G156" s="10"/>
      <c r="H156" s="10"/>
      <c r="I156" s="10"/>
    </row>
    <row r="157" spans="3:9" x14ac:dyDescent="0.25">
      <c r="C157" s="10"/>
      <c r="D157" s="10"/>
      <c r="E157" s="10"/>
      <c r="F157" s="10"/>
      <c r="G157" s="10"/>
      <c r="H157" s="10"/>
      <c r="I157" s="10"/>
    </row>
    <row r="158" spans="3:9" x14ac:dyDescent="0.25">
      <c r="C158" s="10"/>
      <c r="D158" s="10"/>
      <c r="E158" s="10"/>
      <c r="F158" s="10"/>
      <c r="G158" s="10"/>
      <c r="H158" s="10"/>
      <c r="I158" s="10"/>
    </row>
    <row r="159" spans="3:9" x14ac:dyDescent="0.25">
      <c r="C159" s="10"/>
      <c r="D159" s="10"/>
      <c r="E159" s="10"/>
      <c r="F159" s="10"/>
      <c r="G159" s="10"/>
      <c r="H159" s="10"/>
      <c r="I159" s="10"/>
    </row>
    <row r="160" spans="3:9" x14ac:dyDescent="0.25">
      <c r="C160" s="10"/>
      <c r="D160" s="10"/>
      <c r="E160" s="10"/>
      <c r="F160" s="10"/>
      <c r="G160" s="10"/>
      <c r="H160" s="10"/>
      <c r="I160" s="10"/>
    </row>
    <row r="161" spans="3:9" x14ac:dyDescent="0.25">
      <c r="C161" s="10"/>
      <c r="D161" s="10"/>
      <c r="E161" s="10"/>
      <c r="F161" s="10"/>
      <c r="G161" s="10"/>
      <c r="H161" s="10"/>
      <c r="I161" s="10"/>
    </row>
    <row r="162" spans="3:9" x14ac:dyDescent="0.25">
      <c r="C162" s="10"/>
      <c r="D162" s="10"/>
      <c r="E162" s="10"/>
      <c r="F162" s="10"/>
      <c r="G162" s="10"/>
      <c r="H162" s="10"/>
      <c r="I162" s="10"/>
    </row>
    <row r="163" spans="3:9" x14ac:dyDescent="0.25">
      <c r="C163" s="10"/>
      <c r="D163" s="10"/>
      <c r="E163" s="10"/>
      <c r="F163" s="10"/>
      <c r="G163" s="10"/>
      <c r="H163" s="10"/>
      <c r="I163" s="10"/>
    </row>
    <row r="164" spans="3:9" x14ac:dyDescent="0.25">
      <c r="C164" s="10"/>
      <c r="D164" s="10"/>
      <c r="E164" s="10"/>
      <c r="F164" s="10"/>
      <c r="G164" s="10"/>
      <c r="H164" s="10"/>
      <c r="I164" s="10"/>
    </row>
    <row r="165" spans="3:9" x14ac:dyDescent="0.25">
      <c r="C165" s="10"/>
      <c r="D165" s="10"/>
      <c r="E165" s="10"/>
      <c r="F165" s="10"/>
      <c r="G165" s="10"/>
      <c r="H165" s="10"/>
      <c r="I165" s="10"/>
    </row>
    <row r="166" spans="3:9" x14ac:dyDescent="0.25">
      <c r="C166" s="10"/>
      <c r="D166" s="10"/>
      <c r="E166" s="10"/>
      <c r="F166" s="10"/>
      <c r="G166" s="10"/>
      <c r="H166" s="10"/>
      <c r="I166" s="10"/>
    </row>
    <row r="167" spans="3:9" x14ac:dyDescent="0.25">
      <c r="C167" s="10"/>
      <c r="D167" s="10"/>
      <c r="E167" s="10"/>
      <c r="F167" s="10"/>
      <c r="G167" s="10"/>
      <c r="H167" s="10"/>
      <c r="I167" s="10"/>
    </row>
    <row r="168" spans="3:9" x14ac:dyDescent="0.25">
      <c r="C168" s="10"/>
      <c r="D168" s="10"/>
      <c r="E168" s="10"/>
      <c r="F168" s="10"/>
      <c r="G168" s="10"/>
      <c r="H168" s="10"/>
      <c r="I168" s="10"/>
    </row>
    <row r="169" spans="3:9" x14ac:dyDescent="0.25">
      <c r="C169" s="10"/>
      <c r="D169" s="10"/>
      <c r="E169" s="10"/>
      <c r="F169" s="10"/>
      <c r="G169" s="10"/>
      <c r="H169" s="10"/>
      <c r="I169" s="10"/>
    </row>
    <row r="170" spans="3:9" x14ac:dyDescent="0.25">
      <c r="C170" s="10"/>
      <c r="D170" s="10"/>
      <c r="E170" s="10"/>
      <c r="F170" s="10"/>
      <c r="G170" s="10"/>
      <c r="H170" s="10"/>
      <c r="I170" s="10"/>
    </row>
    <row r="171" spans="3:9" x14ac:dyDescent="0.25">
      <c r="C171" s="10"/>
      <c r="D171" s="10"/>
      <c r="E171" s="10"/>
      <c r="F171" s="10"/>
      <c r="G171" s="10"/>
      <c r="H171" s="10"/>
      <c r="I171" s="10"/>
    </row>
    <row r="172" spans="3:9" x14ac:dyDescent="0.25">
      <c r="C172" s="10"/>
      <c r="D172" s="10"/>
      <c r="E172" s="10"/>
      <c r="F172" s="10"/>
      <c r="G172" s="10"/>
      <c r="H172" s="10"/>
      <c r="I172" s="10"/>
    </row>
    <row r="173" spans="3:9" x14ac:dyDescent="0.25">
      <c r="C173" s="10"/>
      <c r="D173" s="10"/>
      <c r="E173" s="10"/>
      <c r="F173" s="10"/>
      <c r="G173" s="10"/>
      <c r="H173" s="10"/>
      <c r="I173" s="10"/>
    </row>
    <row r="174" spans="3:9" x14ac:dyDescent="0.25">
      <c r="C174" s="10"/>
      <c r="D174" s="10"/>
      <c r="E174" s="10"/>
      <c r="F174" s="10"/>
      <c r="G174" s="10"/>
      <c r="H174" s="10"/>
      <c r="I174" s="10"/>
    </row>
    <row r="175" spans="3:9" x14ac:dyDescent="0.25">
      <c r="C175" s="10"/>
      <c r="D175" s="10"/>
      <c r="E175" s="10"/>
      <c r="F175" s="10"/>
      <c r="G175" s="10"/>
      <c r="H175" s="10"/>
      <c r="I175" s="10"/>
    </row>
    <row r="176" spans="3:9" x14ac:dyDescent="0.25">
      <c r="C176" s="10"/>
      <c r="D176" s="10"/>
      <c r="E176" s="10"/>
      <c r="F176" s="10"/>
      <c r="G176" s="10"/>
      <c r="H176" s="10"/>
      <c r="I176" s="10"/>
    </row>
    <row r="177" spans="3:9" x14ac:dyDescent="0.25">
      <c r="C177" s="10"/>
      <c r="D177" s="10"/>
      <c r="E177" s="10"/>
      <c r="F177" s="10"/>
      <c r="G177" s="10"/>
      <c r="H177" s="10"/>
      <c r="I177" s="10"/>
    </row>
    <row r="178" spans="3:9" x14ac:dyDescent="0.25">
      <c r="C178" s="10"/>
      <c r="D178" s="10"/>
      <c r="E178" s="10"/>
      <c r="F178" s="10"/>
      <c r="G178" s="10"/>
      <c r="H178" s="10"/>
      <c r="I178" s="10"/>
    </row>
    <row r="179" spans="3:9" x14ac:dyDescent="0.25">
      <c r="C179" s="10"/>
      <c r="D179" s="10"/>
      <c r="E179" s="10"/>
      <c r="F179" s="10"/>
      <c r="G179" s="10"/>
      <c r="H179" s="10"/>
      <c r="I179" s="10"/>
    </row>
    <row r="180" spans="3:9" x14ac:dyDescent="0.25">
      <c r="C180" s="10"/>
      <c r="D180" s="10"/>
      <c r="E180" s="10"/>
      <c r="F180" s="10"/>
      <c r="G180" s="10"/>
      <c r="H180" s="10"/>
      <c r="I180" s="10"/>
    </row>
    <row r="181" spans="3:9" x14ac:dyDescent="0.25">
      <c r="C181" s="10"/>
      <c r="D181" s="10"/>
      <c r="E181" s="10"/>
      <c r="F181" s="10"/>
      <c r="G181" s="10"/>
      <c r="H181" s="10"/>
      <c r="I181" s="10"/>
    </row>
    <row r="182" spans="3:9" x14ac:dyDescent="0.25">
      <c r="C182" s="10"/>
      <c r="D182" s="10"/>
      <c r="E182" s="10"/>
      <c r="F182" s="10"/>
      <c r="G182" s="10"/>
      <c r="H182" s="10"/>
      <c r="I182" s="10"/>
    </row>
    <row r="183" spans="3:9" x14ac:dyDescent="0.25">
      <c r="C183" s="10"/>
      <c r="D183" s="10"/>
      <c r="E183" s="10"/>
      <c r="F183" s="10"/>
      <c r="G183" s="10"/>
      <c r="H183" s="10"/>
      <c r="I183" s="10"/>
    </row>
    <row r="184" spans="3:9" x14ac:dyDescent="0.25">
      <c r="C184" s="10"/>
      <c r="D184" s="10"/>
      <c r="E184" s="10"/>
      <c r="F184" s="10"/>
      <c r="G184" s="10"/>
      <c r="H184" s="10"/>
      <c r="I184" s="10"/>
    </row>
    <row r="185" spans="3:9" x14ac:dyDescent="0.25">
      <c r="C185" s="10"/>
      <c r="D185" s="10"/>
      <c r="E185" s="10"/>
      <c r="F185" s="10"/>
      <c r="G185" s="10"/>
      <c r="H185" s="10"/>
      <c r="I185" s="10"/>
    </row>
    <row r="186" spans="3:9" x14ac:dyDescent="0.25">
      <c r="C186" s="10"/>
      <c r="D186" s="10"/>
      <c r="E186" s="10"/>
      <c r="F186" s="10"/>
      <c r="G186" s="10"/>
      <c r="H186" s="10"/>
      <c r="I186" s="10"/>
    </row>
    <row r="187" spans="3:9" x14ac:dyDescent="0.25">
      <c r="C187" s="10"/>
      <c r="D187" s="10"/>
      <c r="E187" s="10"/>
      <c r="F187" s="10"/>
      <c r="G187" s="10"/>
      <c r="H187" s="10"/>
      <c r="I187" s="10"/>
    </row>
    <row r="188" spans="3:9" x14ac:dyDescent="0.25">
      <c r="C188" s="10"/>
      <c r="D188" s="10"/>
      <c r="E188" s="10"/>
      <c r="F188" s="10"/>
      <c r="G188" s="10"/>
      <c r="H188" s="10"/>
      <c r="I188" s="10"/>
    </row>
    <row r="189" spans="3:9" x14ac:dyDescent="0.25">
      <c r="C189" s="10"/>
      <c r="D189" s="10"/>
      <c r="E189" s="10"/>
      <c r="F189" s="10"/>
      <c r="G189" s="10"/>
      <c r="H189" s="10"/>
      <c r="I189" s="10"/>
    </row>
    <row r="190" spans="3:9" x14ac:dyDescent="0.25">
      <c r="C190" s="10"/>
      <c r="D190" s="10"/>
      <c r="E190" s="10"/>
      <c r="F190" s="10"/>
      <c r="G190" s="10"/>
      <c r="H190" s="10"/>
      <c r="I190" s="10"/>
    </row>
    <row r="191" spans="3:9" x14ac:dyDescent="0.25">
      <c r="C191" s="10"/>
      <c r="D191" s="10"/>
      <c r="E191" s="10"/>
      <c r="F191" s="10"/>
      <c r="G191" s="10"/>
      <c r="H191" s="10"/>
      <c r="I191" s="10"/>
    </row>
    <row r="192" spans="3:9" x14ac:dyDescent="0.25">
      <c r="C192" s="10"/>
      <c r="D192" s="10"/>
      <c r="E192" s="10"/>
      <c r="F192" s="10"/>
      <c r="G192" s="10"/>
      <c r="H192" s="10"/>
      <c r="I192" s="10"/>
    </row>
    <row r="193" spans="3:9" x14ac:dyDescent="0.25">
      <c r="C193" s="10"/>
      <c r="D193" s="10"/>
      <c r="E193" s="10"/>
      <c r="F193" s="10"/>
      <c r="G193" s="10"/>
      <c r="H193" s="10"/>
      <c r="I193" s="10"/>
    </row>
  </sheetData>
  <mergeCells count="3">
    <mergeCell ref="A1:I1"/>
    <mergeCell ref="A2:I2"/>
    <mergeCell ref="A3:I3"/>
  </mergeCells>
  <pageMargins left="0.7" right="0.7" top="0.75" bottom="0.75" header="0.3" footer="0.3"/>
  <pageSetup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96"/>
  <sheetViews>
    <sheetView zoomScale="120" zoomScaleNormal="12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26" sqref="I126"/>
    </sheetView>
  </sheetViews>
  <sheetFormatPr defaultRowHeight="15" x14ac:dyDescent="0.25"/>
  <cols>
    <col min="1" max="1" width="10.5703125" customWidth="1"/>
    <col min="2" max="2" width="8.5703125" customWidth="1"/>
    <col min="3" max="3" width="30.5703125" customWidth="1"/>
    <col min="4" max="4" width="34.28515625" style="105" bestFit="1" customWidth="1"/>
    <col min="5" max="6" width="5.140625" customWidth="1"/>
    <col min="7" max="7" width="19.28515625" style="3" bestFit="1" customWidth="1"/>
    <col min="8" max="8" width="17.85546875" style="3" bestFit="1" customWidth="1"/>
    <col min="9" max="9" width="16" style="3" bestFit="1" customWidth="1"/>
    <col min="10" max="10" width="14.7109375" style="3" customWidth="1"/>
    <col min="11" max="11" width="15.85546875" style="3" bestFit="1" customWidth="1"/>
    <col min="12" max="12" width="18" style="3" bestFit="1" customWidth="1"/>
    <col min="13" max="13" width="8.7109375" style="3" bestFit="1" customWidth="1"/>
    <col min="14" max="14" width="9.140625" style="3"/>
    <col min="15" max="15" width="15.42578125" bestFit="1" customWidth="1"/>
    <col min="16" max="16" width="16.7109375" style="3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61" t="s">
        <v>5</v>
      </c>
      <c r="H1" s="61" t="s">
        <v>6</v>
      </c>
      <c r="I1" s="61" t="s">
        <v>7</v>
      </c>
      <c r="J1" s="61" t="s">
        <v>8</v>
      </c>
      <c r="K1" s="61" t="s">
        <v>9</v>
      </c>
      <c r="L1" s="61" t="s">
        <v>10</v>
      </c>
      <c r="M1" s="61" t="s">
        <v>11</v>
      </c>
      <c r="N1" s="61" t="s">
        <v>152</v>
      </c>
      <c r="O1" t="str">
        <f t="shared" ref="O1" si="0">CONCATENATE(A1,B1)</f>
        <v>ORG                           OBJ</v>
      </c>
    </row>
    <row r="2" spans="1:16" x14ac:dyDescent="0.25">
      <c r="A2" s="91" t="s">
        <v>0</v>
      </c>
      <c r="B2" s="91" t="s">
        <v>477</v>
      </c>
      <c r="C2" s="91" t="s">
        <v>2</v>
      </c>
      <c r="D2" s="91" t="s">
        <v>3</v>
      </c>
      <c r="E2" s="91" t="s">
        <v>4</v>
      </c>
      <c r="F2" s="91"/>
      <c r="G2" s="91" t="s">
        <v>5</v>
      </c>
      <c r="H2" s="91" t="s">
        <v>6</v>
      </c>
      <c r="I2" s="91" t="s">
        <v>7</v>
      </c>
      <c r="J2" s="91" t="s">
        <v>8</v>
      </c>
      <c r="K2" s="91" t="s">
        <v>9</v>
      </c>
      <c r="L2" s="91" t="s">
        <v>10</v>
      </c>
      <c r="M2" s="91" t="s">
        <v>11</v>
      </c>
      <c r="N2" s="61" t="s">
        <v>152</v>
      </c>
      <c r="O2" t="str">
        <f>CONCATENATE(A2,B2)</f>
        <v xml:space="preserve">ORG                           OBJECT                        </v>
      </c>
    </row>
    <row r="3" spans="1:16" x14ac:dyDescent="0.25">
      <c r="A3" s="90" t="s">
        <v>153</v>
      </c>
      <c r="B3" s="90" t="s">
        <v>154</v>
      </c>
      <c r="C3" s="90" t="s">
        <v>155</v>
      </c>
      <c r="D3" s="91" t="s">
        <v>156</v>
      </c>
      <c r="E3" s="90" t="s">
        <v>157</v>
      </c>
      <c r="F3" s="90"/>
      <c r="G3" s="92">
        <v>-98883996</v>
      </c>
      <c r="H3" s="92">
        <v>-99280836</v>
      </c>
      <c r="I3" s="93">
        <v>-89659449.430000007</v>
      </c>
      <c r="J3" s="93"/>
      <c r="K3" s="93">
        <v>0</v>
      </c>
      <c r="L3" s="92">
        <v>-9621386.5700000003</v>
      </c>
      <c r="M3" s="93">
        <v>90.3</v>
      </c>
      <c r="N3" s="93"/>
      <c r="O3" t="str">
        <f>CONCATENATE(A3,B3)</f>
        <v>1000000141010</v>
      </c>
      <c r="P3" s="3">
        <f>+I3</f>
        <v>-89659449.430000007</v>
      </c>
    </row>
    <row r="4" spans="1:16" x14ac:dyDescent="0.25">
      <c r="A4" s="90" t="s">
        <v>153</v>
      </c>
      <c r="B4" s="90" t="s">
        <v>159</v>
      </c>
      <c r="C4" s="90" t="s">
        <v>160</v>
      </c>
      <c r="D4" s="91" t="s">
        <v>161</v>
      </c>
      <c r="E4" s="90" t="s">
        <v>157</v>
      </c>
      <c r="F4" s="90"/>
      <c r="G4" s="92">
        <v>-1471616</v>
      </c>
      <c r="H4" s="92">
        <v>-1471616</v>
      </c>
      <c r="I4" s="93">
        <v>-2528924.9700000002</v>
      </c>
      <c r="J4" s="93"/>
      <c r="K4" s="93">
        <v>0</v>
      </c>
      <c r="L4" s="92">
        <v>1057308.97</v>
      </c>
      <c r="M4" s="93">
        <v>171.8</v>
      </c>
      <c r="N4" s="93"/>
      <c r="O4" t="str">
        <f>CONCATENATE(A4,B4)</f>
        <v>1000000141020</v>
      </c>
      <c r="P4" s="3">
        <f>+I4</f>
        <v>-2528924.9700000002</v>
      </c>
    </row>
    <row r="5" spans="1:16" x14ac:dyDescent="0.25">
      <c r="A5" s="90" t="s">
        <v>153</v>
      </c>
      <c r="B5" s="90" t="s">
        <v>162</v>
      </c>
      <c r="C5" s="90" t="s">
        <v>163</v>
      </c>
      <c r="D5" s="91" t="s">
        <v>164</v>
      </c>
      <c r="E5" s="90" t="s">
        <v>157</v>
      </c>
      <c r="F5" s="90"/>
      <c r="G5" s="92">
        <v>-7467534</v>
      </c>
      <c r="H5" s="92">
        <v>-7467534</v>
      </c>
      <c r="I5" s="93">
        <v>-8031076.4000000004</v>
      </c>
      <c r="J5" s="93"/>
      <c r="K5" s="93">
        <v>0</v>
      </c>
      <c r="L5" s="92">
        <v>563542.4</v>
      </c>
      <c r="M5" s="93">
        <v>107.5</v>
      </c>
      <c r="N5" s="93"/>
      <c r="O5" t="str">
        <f>CONCATENATE(A5,B5)</f>
        <v>1000000141030</v>
      </c>
      <c r="P5" s="3">
        <f>+I5</f>
        <v>-8031076.4000000004</v>
      </c>
    </row>
    <row r="6" spans="1:16" x14ac:dyDescent="0.25">
      <c r="A6" s="90" t="s">
        <v>153</v>
      </c>
      <c r="B6" s="90" t="s">
        <v>165</v>
      </c>
      <c r="C6" s="90" t="s">
        <v>166</v>
      </c>
      <c r="D6" s="91" t="s">
        <v>167</v>
      </c>
      <c r="E6" s="90" t="s">
        <v>157</v>
      </c>
      <c r="F6" s="90"/>
      <c r="G6" s="92">
        <v>-450000</v>
      </c>
      <c r="H6" s="92">
        <v>-450000</v>
      </c>
      <c r="I6" s="93">
        <v>-477217.65</v>
      </c>
      <c r="J6" s="93"/>
      <c r="K6" s="93">
        <v>0</v>
      </c>
      <c r="L6" s="92">
        <v>27217.65</v>
      </c>
      <c r="M6" s="93">
        <v>106</v>
      </c>
      <c r="N6" s="93"/>
      <c r="O6" t="str">
        <f>CONCATENATE(A6,B6)</f>
        <v>1000000141040</v>
      </c>
      <c r="P6" s="3">
        <f>+I6</f>
        <v>-477217.65</v>
      </c>
    </row>
    <row r="7" spans="1:16" x14ac:dyDescent="0.25">
      <c r="A7" s="90" t="s">
        <v>153</v>
      </c>
      <c r="B7" s="90" t="s">
        <v>168</v>
      </c>
      <c r="C7" s="90" t="s">
        <v>169</v>
      </c>
      <c r="D7" s="91" t="s">
        <v>170</v>
      </c>
      <c r="E7" s="90" t="s">
        <v>157</v>
      </c>
      <c r="F7" s="90"/>
      <c r="G7" s="92">
        <v>-500000</v>
      </c>
      <c r="H7" s="92">
        <v>-500000</v>
      </c>
      <c r="I7" s="93">
        <v>-636795.59</v>
      </c>
      <c r="J7" s="93"/>
      <c r="K7" s="93">
        <v>0</v>
      </c>
      <c r="L7" s="92">
        <v>136795.59</v>
      </c>
      <c r="M7" s="93">
        <v>127.4</v>
      </c>
      <c r="N7" s="93"/>
      <c r="O7" t="str">
        <f>CONCATENATE(A7,B7)</f>
        <v>1000000141050</v>
      </c>
      <c r="P7" s="3">
        <f>+I7</f>
        <v>-636795.59</v>
      </c>
    </row>
    <row r="8" spans="1:16" x14ac:dyDescent="0.25">
      <c r="A8" s="90" t="s">
        <v>153</v>
      </c>
      <c r="B8" s="90" t="s">
        <v>836</v>
      </c>
      <c r="C8" s="90" t="s">
        <v>837</v>
      </c>
      <c r="D8" s="91" t="s">
        <v>838</v>
      </c>
      <c r="E8" s="90" t="s">
        <v>157</v>
      </c>
      <c r="F8" s="90"/>
      <c r="G8" s="92">
        <v>0</v>
      </c>
      <c r="H8" s="92">
        <v>0</v>
      </c>
      <c r="I8" s="93">
        <v>0</v>
      </c>
      <c r="J8" s="93"/>
      <c r="K8" s="93">
        <v>0</v>
      </c>
      <c r="L8" s="92">
        <v>0</v>
      </c>
      <c r="M8" s="93">
        <v>0</v>
      </c>
      <c r="N8" s="93"/>
      <c r="O8" t="str">
        <f>CONCATENATE(A8,B8)</f>
        <v>1000000141055</v>
      </c>
      <c r="P8" s="3">
        <f>+I8</f>
        <v>0</v>
      </c>
    </row>
    <row r="9" spans="1:16" x14ac:dyDescent="0.25">
      <c r="A9" s="90" t="s">
        <v>153</v>
      </c>
      <c r="B9" s="90" t="s">
        <v>839</v>
      </c>
      <c r="C9" s="90" t="s">
        <v>840</v>
      </c>
      <c r="D9" s="91" t="s">
        <v>841</v>
      </c>
      <c r="E9" s="90" t="s">
        <v>157</v>
      </c>
      <c r="F9" s="90"/>
      <c r="G9" s="92">
        <v>0</v>
      </c>
      <c r="H9" s="92">
        <v>0</v>
      </c>
      <c r="I9" s="93">
        <v>0</v>
      </c>
      <c r="J9" s="93"/>
      <c r="K9" s="93">
        <v>0</v>
      </c>
      <c r="L9" s="92">
        <v>0</v>
      </c>
      <c r="M9" s="93">
        <v>0</v>
      </c>
      <c r="N9" s="93"/>
      <c r="O9" t="str">
        <f>CONCATENATE(A9,B9)</f>
        <v>1000000141065</v>
      </c>
      <c r="P9" s="3">
        <f>+I9</f>
        <v>0</v>
      </c>
    </row>
    <row r="10" spans="1:16" x14ac:dyDescent="0.25">
      <c r="A10" s="90" t="s">
        <v>153</v>
      </c>
      <c r="B10" s="90" t="s">
        <v>171</v>
      </c>
      <c r="C10" s="90" t="s">
        <v>172</v>
      </c>
      <c r="D10" s="91" t="s">
        <v>173</v>
      </c>
      <c r="E10" s="90" t="s">
        <v>157</v>
      </c>
      <c r="F10" s="90"/>
      <c r="G10" s="92">
        <v>-1050000</v>
      </c>
      <c r="H10" s="92">
        <v>-1050000</v>
      </c>
      <c r="I10" s="93">
        <v>-1861551.65</v>
      </c>
      <c r="J10" s="93"/>
      <c r="K10" s="93">
        <v>0</v>
      </c>
      <c r="L10" s="92">
        <v>811551.65</v>
      </c>
      <c r="M10" s="93">
        <v>177.3</v>
      </c>
      <c r="N10" s="93"/>
      <c r="O10" t="str">
        <f>CONCATENATE(A10,B10)</f>
        <v>1000000142010</v>
      </c>
      <c r="P10" s="3">
        <f>+I10</f>
        <v>-1861551.65</v>
      </c>
    </row>
    <row r="11" spans="1:16" x14ac:dyDescent="0.25">
      <c r="A11" s="90" t="s">
        <v>153</v>
      </c>
      <c r="B11" s="90" t="s">
        <v>842</v>
      </c>
      <c r="C11" s="90" t="s">
        <v>843</v>
      </c>
      <c r="D11" s="91" t="s">
        <v>844</v>
      </c>
      <c r="E11" s="90" t="s">
        <v>157</v>
      </c>
      <c r="F11" s="90"/>
      <c r="G11" s="92">
        <v>-18000</v>
      </c>
      <c r="H11" s="92">
        <v>-18000</v>
      </c>
      <c r="I11" s="93">
        <v>3</v>
      </c>
      <c r="J11" s="93"/>
      <c r="K11" s="93">
        <v>0</v>
      </c>
      <c r="L11" s="92">
        <v>-18003</v>
      </c>
      <c r="M11" s="93">
        <v>0</v>
      </c>
      <c r="N11" s="93"/>
      <c r="O11" t="str">
        <f>CONCATENATE(A11,B11)</f>
        <v>1000000142020</v>
      </c>
      <c r="P11" s="3">
        <f>+I11</f>
        <v>3</v>
      </c>
    </row>
    <row r="12" spans="1:16" x14ac:dyDescent="0.25">
      <c r="A12" s="90" t="s">
        <v>153</v>
      </c>
      <c r="B12" s="90" t="s">
        <v>174</v>
      </c>
      <c r="C12" s="90" t="s">
        <v>175</v>
      </c>
      <c r="D12" s="91" t="s">
        <v>176</v>
      </c>
      <c r="E12" s="90" t="s">
        <v>157</v>
      </c>
      <c r="F12" s="90"/>
      <c r="G12" s="92">
        <v>-10000</v>
      </c>
      <c r="H12" s="92">
        <v>-10000</v>
      </c>
      <c r="I12" s="93">
        <v>-20105</v>
      </c>
      <c r="J12" s="93"/>
      <c r="K12" s="93">
        <v>0</v>
      </c>
      <c r="L12" s="92">
        <v>10105</v>
      </c>
      <c r="M12" s="93">
        <v>201.1</v>
      </c>
      <c r="N12" s="93"/>
      <c r="O12" t="str">
        <f>CONCATENATE(A12,B12)</f>
        <v>1000000142030</v>
      </c>
      <c r="P12" s="3">
        <f>+I12</f>
        <v>-20105</v>
      </c>
    </row>
    <row r="13" spans="1:16" x14ac:dyDescent="0.25">
      <c r="A13" s="90" t="s">
        <v>153</v>
      </c>
      <c r="B13" s="90" t="s">
        <v>177</v>
      </c>
      <c r="C13" s="90" t="s">
        <v>178</v>
      </c>
      <c r="D13" s="91" t="s">
        <v>179</v>
      </c>
      <c r="E13" s="90" t="s">
        <v>157</v>
      </c>
      <c r="F13" s="90"/>
      <c r="G13" s="92">
        <v>-55000</v>
      </c>
      <c r="H13" s="92">
        <v>-55000</v>
      </c>
      <c r="I13" s="93">
        <v>-62960</v>
      </c>
      <c r="J13" s="93"/>
      <c r="K13" s="93">
        <v>0</v>
      </c>
      <c r="L13" s="92">
        <v>7960</v>
      </c>
      <c r="M13" s="93">
        <v>114.5</v>
      </c>
      <c r="N13" s="93"/>
      <c r="O13" t="str">
        <f>CONCATENATE(A13,B13)</f>
        <v>1000000142040</v>
      </c>
      <c r="P13" s="3">
        <f>+I13</f>
        <v>-62960</v>
      </c>
    </row>
    <row r="14" spans="1:16" x14ac:dyDescent="0.25">
      <c r="A14" s="90" t="s">
        <v>153</v>
      </c>
      <c r="B14" s="90" t="s">
        <v>845</v>
      </c>
      <c r="C14" s="90" t="s">
        <v>846</v>
      </c>
      <c r="D14" s="91" t="s">
        <v>847</v>
      </c>
      <c r="E14" s="90" t="s">
        <v>157</v>
      </c>
      <c r="F14" s="90"/>
      <c r="G14" s="92">
        <v>0</v>
      </c>
      <c r="H14" s="92">
        <v>0</v>
      </c>
      <c r="I14" s="93">
        <v>0</v>
      </c>
      <c r="J14" s="93"/>
      <c r="K14" s="93">
        <v>0</v>
      </c>
      <c r="L14" s="92">
        <v>0</v>
      </c>
      <c r="M14" s="93">
        <v>0</v>
      </c>
      <c r="N14" s="93"/>
      <c r="O14" t="str">
        <f>CONCATENATE(A14,B14)</f>
        <v>1000000142050</v>
      </c>
      <c r="P14" s="3">
        <f>+I14</f>
        <v>0</v>
      </c>
    </row>
    <row r="15" spans="1:16" x14ac:dyDescent="0.25">
      <c r="A15" s="90" t="s">
        <v>153</v>
      </c>
      <c r="B15" s="90" t="s">
        <v>523</v>
      </c>
      <c r="C15" s="90" t="s">
        <v>524</v>
      </c>
      <c r="D15" s="91" t="s">
        <v>525</v>
      </c>
      <c r="E15" s="90" t="s">
        <v>157</v>
      </c>
      <c r="F15" s="90"/>
      <c r="G15" s="92">
        <v>0</v>
      </c>
      <c r="H15" s="92">
        <v>0</v>
      </c>
      <c r="I15" s="93">
        <v>-250</v>
      </c>
      <c r="J15" s="93"/>
      <c r="K15" s="93">
        <v>0</v>
      </c>
      <c r="L15" s="92">
        <v>250</v>
      </c>
      <c r="M15" s="93">
        <v>100</v>
      </c>
      <c r="N15" s="93"/>
      <c r="O15" t="str">
        <f>CONCATENATE(A15,B15)</f>
        <v>1000000142060</v>
      </c>
      <c r="P15" s="3">
        <f>+I15</f>
        <v>-250</v>
      </c>
    </row>
    <row r="16" spans="1:16" x14ac:dyDescent="0.25">
      <c r="A16" s="90" t="s">
        <v>153</v>
      </c>
      <c r="B16" s="90" t="s">
        <v>180</v>
      </c>
      <c r="C16" s="90" t="s">
        <v>181</v>
      </c>
      <c r="D16" s="91" t="s">
        <v>182</v>
      </c>
      <c r="E16" s="90" t="s">
        <v>157</v>
      </c>
      <c r="F16" s="90"/>
      <c r="G16" s="92">
        <v>-450000</v>
      </c>
      <c r="H16" s="92">
        <v>-450000</v>
      </c>
      <c r="I16" s="93">
        <v>-331724.46000000002</v>
      </c>
      <c r="J16" s="93"/>
      <c r="K16" s="93">
        <v>0</v>
      </c>
      <c r="L16" s="92">
        <v>-118275.54</v>
      </c>
      <c r="M16" s="93">
        <v>73.7</v>
      </c>
      <c r="N16" s="93"/>
      <c r="O16" t="str">
        <f>CONCATENATE(A16,B16)</f>
        <v>1000000142200</v>
      </c>
      <c r="P16" s="3">
        <f>+I16</f>
        <v>-331724.46000000002</v>
      </c>
    </row>
    <row r="17" spans="1:16" x14ac:dyDescent="0.25">
      <c r="A17" s="90" t="s">
        <v>153</v>
      </c>
      <c r="B17" s="90" t="s">
        <v>183</v>
      </c>
      <c r="C17" s="90" t="s">
        <v>184</v>
      </c>
      <c r="D17" s="91" t="s">
        <v>185</v>
      </c>
      <c r="E17" s="90" t="s">
        <v>157</v>
      </c>
      <c r="F17" s="90"/>
      <c r="G17" s="92">
        <v>-2300000</v>
      </c>
      <c r="H17" s="92">
        <v>-2300000</v>
      </c>
      <c r="I17" s="93">
        <v>-3361017.5</v>
      </c>
      <c r="J17" s="93"/>
      <c r="K17" s="93">
        <v>0</v>
      </c>
      <c r="L17" s="92">
        <v>1061017.5</v>
      </c>
      <c r="M17" s="93">
        <v>146.1</v>
      </c>
      <c r="N17" s="93"/>
      <c r="O17" t="str">
        <f>CONCATENATE(A17,B17)</f>
        <v>1000000142300</v>
      </c>
      <c r="P17" s="3">
        <f>+I17</f>
        <v>-3361017.5</v>
      </c>
    </row>
    <row r="18" spans="1:16" x14ac:dyDescent="0.25">
      <c r="A18" s="90" t="s">
        <v>153</v>
      </c>
      <c r="B18" s="90" t="s">
        <v>186</v>
      </c>
      <c r="C18" s="90" t="s">
        <v>187</v>
      </c>
      <c r="D18" s="91" t="s">
        <v>188</v>
      </c>
      <c r="E18" s="90" t="s">
        <v>157</v>
      </c>
      <c r="F18" s="90"/>
      <c r="G18" s="92">
        <v>-75000</v>
      </c>
      <c r="H18" s="92">
        <v>-75000</v>
      </c>
      <c r="I18" s="93">
        <v>-118650</v>
      </c>
      <c r="J18" s="93"/>
      <c r="K18" s="93">
        <v>0</v>
      </c>
      <c r="L18" s="92">
        <v>43650</v>
      </c>
      <c r="M18" s="93">
        <v>158.19999999999999</v>
      </c>
      <c r="N18" s="93"/>
      <c r="O18" t="str">
        <f>CONCATENATE(A18,B18)</f>
        <v>1000000142310</v>
      </c>
      <c r="P18" s="3">
        <f>+I18</f>
        <v>-118650</v>
      </c>
    </row>
    <row r="19" spans="1:16" x14ac:dyDescent="0.25">
      <c r="A19" s="90" t="s">
        <v>153</v>
      </c>
      <c r="B19" s="90" t="s">
        <v>189</v>
      </c>
      <c r="C19" s="90" t="s">
        <v>190</v>
      </c>
      <c r="D19" s="91" t="s">
        <v>191</v>
      </c>
      <c r="E19" s="90" t="s">
        <v>157</v>
      </c>
      <c r="F19" s="90"/>
      <c r="G19" s="92">
        <v>-7951200</v>
      </c>
      <c r="H19" s="92">
        <v>-7951200</v>
      </c>
      <c r="I19" s="93">
        <v>-7917964.0499999998</v>
      </c>
      <c r="J19" s="93"/>
      <c r="K19" s="93">
        <v>0</v>
      </c>
      <c r="L19" s="92">
        <v>-33235.949999999997</v>
      </c>
      <c r="M19" s="93">
        <v>99.6</v>
      </c>
      <c r="N19" s="93"/>
      <c r="O19" t="str">
        <f>CONCATENATE(A19,B19)</f>
        <v>1000000143010</v>
      </c>
      <c r="P19" s="3">
        <f>+I19</f>
        <v>-7917964.0499999998</v>
      </c>
    </row>
    <row r="20" spans="1:16" x14ac:dyDescent="0.25">
      <c r="A20" s="90" t="s">
        <v>153</v>
      </c>
      <c r="B20" s="90" t="s">
        <v>192</v>
      </c>
      <c r="C20" s="90" t="s">
        <v>193</v>
      </c>
      <c r="D20" s="91" t="s">
        <v>194</v>
      </c>
      <c r="E20" s="90" t="s">
        <v>157</v>
      </c>
      <c r="F20" s="90"/>
      <c r="G20" s="92">
        <v>-2150000</v>
      </c>
      <c r="H20" s="92">
        <v>-2150000</v>
      </c>
      <c r="I20" s="93">
        <v>-2074840.49</v>
      </c>
      <c r="J20" s="93"/>
      <c r="K20" s="93">
        <v>0</v>
      </c>
      <c r="L20" s="92">
        <v>-75159.509999999995</v>
      </c>
      <c r="M20" s="93">
        <v>96.5</v>
      </c>
      <c r="N20" s="93"/>
      <c r="O20" t="str">
        <f>CONCATENATE(A20,B20)</f>
        <v>1000000143015</v>
      </c>
      <c r="P20" s="3">
        <f>+I20</f>
        <v>-2074840.49</v>
      </c>
    </row>
    <row r="21" spans="1:16" x14ac:dyDescent="0.25">
      <c r="A21" s="90" t="s">
        <v>153</v>
      </c>
      <c r="B21" s="90" t="s">
        <v>195</v>
      </c>
      <c r="C21" s="90" t="s">
        <v>196</v>
      </c>
      <c r="D21" s="91" t="s">
        <v>197</v>
      </c>
      <c r="E21" s="90" t="s">
        <v>157</v>
      </c>
      <c r="F21" s="90"/>
      <c r="G21" s="92">
        <v>-186000</v>
      </c>
      <c r="H21" s="92">
        <v>-186000</v>
      </c>
      <c r="I21" s="93">
        <v>-186308.92</v>
      </c>
      <c r="J21" s="93"/>
      <c r="K21" s="93">
        <v>0</v>
      </c>
      <c r="L21" s="92">
        <v>308.92</v>
      </c>
      <c r="M21" s="93">
        <v>100.2</v>
      </c>
      <c r="N21" s="93"/>
      <c r="O21" t="str">
        <f>CONCATENATE(A21,B21)</f>
        <v>1000000143020</v>
      </c>
      <c r="P21" s="3">
        <f>+I21</f>
        <v>-186308.92</v>
      </c>
    </row>
    <row r="22" spans="1:16" x14ac:dyDescent="0.25">
      <c r="A22" s="90" t="s">
        <v>153</v>
      </c>
      <c r="B22" s="90" t="s">
        <v>198</v>
      </c>
      <c r="C22" s="90" t="s">
        <v>199</v>
      </c>
      <c r="D22" s="91" t="s">
        <v>200</v>
      </c>
      <c r="E22" s="90" t="s">
        <v>157</v>
      </c>
      <c r="F22" s="90"/>
      <c r="G22" s="92">
        <v>-23200</v>
      </c>
      <c r="H22" s="92">
        <v>-23200</v>
      </c>
      <c r="I22" s="93">
        <v>-277616.08</v>
      </c>
      <c r="J22" s="93"/>
      <c r="K22" s="93">
        <v>0</v>
      </c>
      <c r="L22" s="92">
        <v>254416.08</v>
      </c>
      <c r="M22" s="93">
        <v>1196.5999999999999</v>
      </c>
      <c r="N22" s="93"/>
      <c r="O22" t="str">
        <f>CONCATENATE(A22,B22)</f>
        <v>1000000143021</v>
      </c>
      <c r="P22" s="3">
        <f>+I22</f>
        <v>-277616.08</v>
      </c>
    </row>
    <row r="23" spans="1:16" x14ac:dyDescent="0.25">
      <c r="A23" s="90" t="s">
        <v>153</v>
      </c>
      <c r="B23" s="90" t="s">
        <v>201</v>
      </c>
      <c r="C23" s="90" t="s">
        <v>202</v>
      </c>
      <c r="D23" s="91" t="s">
        <v>203</v>
      </c>
      <c r="E23" s="90" t="s">
        <v>157</v>
      </c>
      <c r="F23" s="90"/>
      <c r="G23" s="92">
        <v>-200000</v>
      </c>
      <c r="H23" s="92">
        <v>-200000</v>
      </c>
      <c r="I23" s="93">
        <v>-255666.04</v>
      </c>
      <c r="J23" s="93"/>
      <c r="K23" s="93">
        <v>0</v>
      </c>
      <c r="L23" s="92">
        <v>55666.04</v>
      </c>
      <c r="M23" s="93">
        <v>127.8</v>
      </c>
      <c r="N23" s="93"/>
      <c r="O23" t="str">
        <f>CONCATENATE(A23,B23)</f>
        <v>1000000143022</v>
      </c>
      <c r="P23" s="3">
        <f>+I23</f>
        <v>-255666.04</v>
      </c>
    </row>
    <row r="24" spans="1:16" x14ac:dyDescent="0.25">
      <c r="A24" s="90" t="s">
        <v>153</v>
      </c>
      <c r="B24" s="90" t="s">
        <v>848</v>
      </c>
      <c r="C24" s="90" t="s">
        <v>849</v>
      </c>
      <c r="D24" s="91" t="s">
        <v>850</v>
      </c>
      <c r="E24" s="90" t="s">
        <v>157</v>
      </c>
      <c r="F24" s="90"/>
      <c r="G24" s="92">
        <v>0</v>
      </c>
      <c r="H24" s="92">
        <v>0</v>
      </c>
      <c r="I24" s="93">
        <v>0</v>
      </c>
      <c r="J24" s="93"/>
      <c r="K24" s="93">
        <v>0</v>
      </c>
      <c r="L24" s="92">
        <v>0</v>
      </c>
      <c r="M24" s="93">
        <v>0</v>
      </c>
      <c r="N24" s="93"/>
      <c r="O24" t="str">
        <f>CONCATENATE(A24,B24)</f>
        <v>1000000143023</v>
      </c>
      <c r="P24" s="3">
        <f>+I24</f>
        <v>0</v>
      </c>
    </row>
    <row r="25" spans="1:16" x14ac:dyDescent="0.25">
      <c r="A25" s="90" t="s">
        <v>153</v>
      </c>
      <c r="B25" s="90" t="s">
        <v>204</v>
      </c>
      <c r="C25" s="90" t="s">
        <v>205</v>
      </c>
      <c r="D25" s="91" t="s">
        <v>206</v>
      </c>
      <c r="E25" s="90" t="s">
        <v>157</v>
      </c>
      <c r="F25" s="90"/>
      <c r="G25" s="92">
        <v>-100000</v>
      </c>
      <c r="H25" s="92">
        <v>-100000</v>
      </c>
      <c r="I25" s="93">
        <v>-92068.41</v>
      </c>
      <c r="J25" s="93"/>
      <c r="K25" s="93">
        <v>0</v>
      </c>
      <c r="L25" s="92">
        <v>-7931.59</v>
      </c>
      <c r="M25" s="93">
        <v>92.1</v>
      </c>
      <c r="N25" s="93"/>
      <c r="O25" t="str">
        <f>CONCATENATE(A25,B25)</f>
        <v>1000000143040</v>
      </c>
      <c r="P25" s="3">
        <f>+I25</f>
        <v>-92068.41</v>
      </c>
    </row>
    <row r="26" spans="1:16" x14ac:dyDescent="0.25">
      <c r="A26" s="90" t="s">
        <v>153</v>
      </c>
      <c r="B26" s="90" t="s">
        <v>207</v>
      </c>
      <c r="C26" s="90" t="s">
        <v>208</v>
      </c>
      <c r="D26" s="91" t="s">
        <v>209</v>
      </c>
      <c r="E26" s="90" t="s">
        <v>157</v>
      </c>
      <c r="F26" s="90"/>
      <c r="G26" s="92">
        <v>-17000</v>
      </c>
      <c r="H26" s="92">
        <v>-17000</v>
      </c>
      <c r="I26" s="93">
        <v>-9734.69</v>
      </c>
      <c r="J26" s="93"/>
      <c r="K26" s="93">
        <v>0</v>
      </c>
      <c r="L26" s="92">
        <v>-7265.31</v>
      </c>
      <c r="M26" s="93">
        <v>57.3</v>
      </c>
      <c r="N26" s="93"/>
      <c r="O26" t="str">
        <f>CONCATENATE(A26,B26)</f>
        <v>1000000143041</v>
      </c>
      <c r="P26" s="3">
        <f>+I26</f>
        <v>-9734.69</v>
      </c>
    </row>
    <row r="27" spans="1:16" x14ac:dyDescent="0.25">
      <c r="A27" s="90" t="s">
        <v>153</v>
      </c>
      <c r="B27" s="90" t="s">
        <v>210</v>
      </c>
      <c r="C27" s="90" t="s">
        <v>211</v>
      </c>
      <c r="D27" s="91" t="s">
        <v>212</v>
      </c>
      <c r="E27" s="90" t="s">
        <v>157</v>
      </c>
      <c r="F27" s="90"/>
      <c r="G27" s="92">
        <v>-9500</v>
      </c>
      <c r="H27" s="92">
        <v>-9500</v>
      </c>
      <c r="I27" s="93">
        <v>-6571.62</v>
      </c>
      <c r="J27" s="93"/>
      <c r="K27" s="93">
        <v>0</v>
      </c>
      <c r="L27" s="92">
        <v>-2928.38</v>
      </c>
      <c r="M27" s="93">
        <v>69.2</v>
      </c>
      <c r="N27" s="93"/>
      <c r="O27" t="str">
        <f>CONCATENATE(A27,B27)</f>
        <v>1000000143051</v>
      </c>
      <c r="P27" s="3">
        <f>+I27</f>
        <v>-6571.62</v>
      </c>
    </row>
    <row r="28" spans="1:16" x14ac:dyDescent="0.25">
      <c r="A28" s="90" t="s">
        <v>153</v>
      </c>
      <c r="B28" s="90" t="s">
        <v>213</v>
      </c>
      <c r="C28" s="90" t="s">
        <v>214</v>
      </c>
      <c r="D28" s="91" t="s">
        <v>215</v>
      </c>
      <c r="E28" s="90" t="s">
        <v>157</v>
      </c>
      <c r="F28" s="90"/>
      <c r="G28" s="92">
        <v>-5500</v>
      </c>
      <c r="H28" s="92">
        <v>-5500</v>
      </c>
      <c r="I28" s="93">
        <v>-5783.57</v>
      </c>
      <c r="J28" s="93"/>
      <c r="K28" s="93">
        <v>0</v>
      </c>
      <c r="L28" s="92">
        <v>283.57</v>
      </c>
      <c r="M28" s="93">
        <v>105.2</v>
      </c>
      <c r="N28" s="93"/>
      <c r="O28" t="str">
        <f>CONCATENATE(A28,B28)</f>
        <v>1000000143200</v>
      </c>
      <c r="P28" s="3">
        <f>+I28</f>
        <v>-5783.57</v>
      </c>
    </row>
    <row r="29" spans="1:16" x14ac:dyDescent="0.25">
      <c r="A29" s="90" t="s">
        <v>153</v>
      </c>
      <c r="B29" s="90" t="s">
        <v>851</v>
      </c>
      <c r="C29" s="90" t="s">
        <v>852</v>
      </c>
      <c r="D29" s="91" t="s">
        <v>853</v>
      </c>
      <c r="E29" s="90" t="s">
        <v>157</v>
      </c>
      <c r="F29" s="90"/>
      <c r="G29" s="92">
        <v>0</v>
      </c>
      <c r="H29" s="92">
        <v>0</v>
      </c>
      <c r="I29" s="93">
        <v>0</v>
      </c>
      <c r="J29" s="93"/>
      <c r="K29" s="93">
        <v>0</v>
      </c>
      <c r="L29" s="92">
        <v>0</v>
      </c>
      <c r="M29" s="93">
        <v>0</v>
      </c>
      <c r="N29" s="93"/>
      <c r="O29" t="str">
        <f>CONCATENATE(A29,B29)</f>
        <v>1000000143210</v>
      </c>
      <c r="P29" s="3">
        <f>+I29</f>
        <v>0</v>
      </c>
    </row>
    <row r="30" spans="1:16" x14ac:dyDescent="0.25">
      <c r="A30" s="90" t="s">
        <v>153</v>
      </c>
      <c r="B30" s="90" t="s">
        <v>854</v>
      </c>
      <c r="C30" s="90" t="s">
        <v>855</v>
      </c>
      <c r="D30" s="91" t="s">
        <v>856</v>
      </c>
      <c r="E30" s="90" t="s">
        <v>157</v>
      </c>
      <c r="F30" s="90"/>
      <c r="G30" s="92">
        <v>0</v>
      </c>
      <c r="H30" s="92">
        <v>0</v>
      </c>
      <c r="I30" s="93">
        <v>0</v>
      </c>
      <c r="J30" s="93"/>
      <c r="K30" s="93">
        <v>0</v>
      </c>
      <c r="L30" s="92">
        <v>0</v>
      </c>
      <c r="M30" s="93">
        <v>0</v>
      </c>
      <c r="N30" s="93"/>
      <c r="O30" t="str">
        <f>CONCATENATE(A30,B30)</f>
        <v>1000000143211</v>
      </c>
      <c r="P30" s="3">
        <f>+I30</f>
        <v>0</v>
      </c>
    </row>
    <row r="31" spans="1:16" x14ac:dyDescent="0.25">
      <c r="A31" s="90" t="s">
        <v>153</v>
      </c>
      <c r="B31" s="90" t="s">
        <v>857</v>
      </c>
      <c r="C31" s="90" t="s">
        <v>858</v>
      </c>
      <c r="D31" s="91" t="s">
        <v>859</v>
      </c>
      <c r="E31" s="90" t="s">
        <v>157</v>
      </c>
      <c r="F31" s="90"/>
      <c r="G31" s="92">
        <v>0</v>
      </c>
      <c r="H31" s="92">
        <v>0</v>
      </c>
      <c r="I31" s="93">
        <v>0</v>
      </c>
      <c r="J31" s="93"/>
      <c r="K31" s="93">
        <v>0</v>
      </c>
      <c r="L31" s="92">
        <v>0</v>
      </c>
      <c r="M31" s="93">
        <v>0</v>
      </c>
      <c r="N31" s="93"/>
      <c r="O31" t="str">
        <f>CONCATENATE(A31,B31)</f>
        <v>1000000143220</v>
      </c>
      <c r="P31" s="3">
        <f>+I31</f>
        <v>0</v>
      </c>
    </row>
    <row r="32" spans="1:16" x14ac:dyDescent="0.25">
      <c r="A32" s="90" t="s">
        <v>153</v>
      </c>
      <c r="B32" s="90" t="s">
        <v>216</v>
      </c>
      <c r="C32" s="90" t="s">
        <v>217</v>
      </c>
      <c r="D32" s="91" t="s">
        <v>218</v>
      </c>
      <c r="E32" s="90" t="s">
        <v>157</v>
      </c>
      <c r="F32" s="90"/>
      <c r="G32" s="92">
        <v>-13500</v>
      </c>
      <c r="H32" s="92">
        <v>-13500</v>
      </c>
      <c r="I32" s="93">
        <v>-11613.99</v>
      </c>
      <c r="J32" s="93"/>
      <c r="K32" s="93">
        <v>0</v>
      </c>
      <c r="L32" s="92">
        <v>-1886.01</v>
      </c>
      <c r="M32" s="93">
        <v>86</v>
      </c>
      <c r="N32" s="93"/>
      <c r="O32" t="str">
        <f>CONCATENATE(A32,B32)</f>
        <v>1000000143230</v>
      </c>
      <c r="P32" s="3">
        <f>+I32</f>
        <v>-11613.99</v>
      </c>
    </row>
    <row r="33" spans="1:16" x14ac:dyDescent="0.25">
      <c r="A33" s="90" t="s">
        <v>153</v>
      </c>
      <c r="B33" s="90" t="s">
        <v>860</v>
      </c>
      <c r="C33" s="90" t="s">
        <v>861</v>
      </c>
      <c r="D33" s="91" t="s">
        <v>862</v>
      </c>
      <c r="E33" s="90" t="s">
        <v>157</v>
      </c>
      <c r="F33" s="90"/>
      <c r="G33" s="92">
        <v>-115000</v>
      </c>
      <c r="H33" s="92">
        <v>-115000</v>
      </c>
      <c r="I33" s="93">
        <v>0</v>
      </c>
      <c r="J33" s="93"/>
      <c r="K33" s="93">
        <v>0</v>
      </c>
      <c r="L33" s="92">
        <v>-115000</v>
      </c>
      <c r="M33" s="93">
        <v>0</v>
      </c>
      <c r="N33" s="93"/>
      <c r="O33" t="str">
        <f>CONCATENATE(A33,B33)</f>
        <v>1000000143238</v>
      </c>
      <c r="P33" s="3">
        <f>+I33</f>
        <v>0</v>
      </c>
    </row>
    <row r="34" spans="1:16" x14ac:dyDescent="0.25">
      <c r="A34" s="90" t="s">
        <v>153</v>
      </c>
      <c r="B34" s="90" t="s">
        <v>863</v>
      </c>
      <c r="C34" s="90" t="s">
        <v>864</v>
      </c>
      <c r="D34" s="91" t="s">
        <v>865</v>
      </c>
      <c r="E34" s="90" t="s">
        <v>157</v>
      </c>
      <c r="F34" s="90"/>
      <c r="G34" s="92">
        <v>0</v>
      </c>
      <c r="H34" s="92">
        <v>0</v>
      </c>
      <c r="I34" s="93">
        <v>0</v>
      </c>
      <c r="J34" s="93"/>
      <c r="K34" s="93">
        <v>0</v>
      </c>
      <c r="L34" s="92">
        <v>0</v>
      </c>
      <c r="M34" s="93">
        <v>0</v>
      </c>
      <c r="N34" s="93"/>
      <c r="O34" t="str">
        <f>CONCATENATE(A34,B34)</f>
        <v>1000000143240</v>
      </c>
      <c r="P34" s="3">
        <f>+I34</f>
        <v>0</v>
      </c>
    </row>
    <row r="35" spans="1:16" x14ac:dyDescent="0.25">
      <c r="A35" s="90" t="s">
        <v>153</v>
      </c>
      <c r="B35" s="90" t="s">
        <v>219</v>
      </c>
      <c r="C35" s="90" t="s">
        <v>220</v>
      </c>
      <c r="D35" s="91" t="s">
        <v>221</v>
      </c>
      <c r="E35" s="90" t="s">
        <v>157</v>
      </c>
      <c r="F35" s="90"/>
      <c r="G35" s="92">
        <v>-7880</v>
      </c>
      <c r="H35" s="92">
        <v>-7880</v>
      </c>
      <c r="I35" s="93">
        <v>-54862</v>
      </c>
      <c r="J35" s="93"/>
      <c r="K35" s="93">
        <v>0</v>
      </c>
      <c r="L35" s="92">
        <v>46982</v>
      </c>
      <c r="M35" s="93">
        <v>696.2</v>
      </c>
      <c r="N35" s="93"/>
      <c r="O35" t="str">
        <f>CONCATENATE(A35,B35)</f>
        <v>1000000143250</v>
      </c>
      <c r="P35" s="3">
        <f>+I35</f>
        <v>-54862</v>
      </c>
    </row>
    <row r="36" spans="1:16" x14ac:dyDescent="0.25">
      <c r="A36" s="90" t="s">
        <v>153</v>
      </c>
      <c r="B36" s="90" t="s">
        <v>866</v>
      </c>
      <c r="C36" s="90" t="s">
        <v>867</v>
      </c>
      <c r="D36" s="91" t="s">
        <v>868</v>
      </c>
      <c r="E36" s="90" t="s">
        <v>157</v>
      </c>
      <c r="F36" s="90"/>
      <c r="G36" s="92">
        <v>0</v>
      </c>
      <c r="H36" s="92">
        <v>0</v>
      </c>
      <c r="I36" s="93">
        <v>0</v>
      </c>
      <c r="J36" s="93"/>
      <c r="K36" s="93">
        <v>0</v>
      </c>
      <c r="L36" s="92">
        <v>0</v>
      </c>
      <c r="M36" s="93">
        <v>0</v>
      </c>
      <c r="N36" s="93"/>
      <c r="O36" t="str">
        <f>CONCATENATE(A36,B36)</f>
        <v>1000000143260</v>
      </c>
      <c r="P36" s="3">
        <f>+I36</f>
        <v>0</v>
      </c>
    </row>
    <row r="37" spans="1:16" x14ac:dyDescent="0.25">
      <c r="A37" s="90" t="s">
        <v>153</v>
      </c>
      <c r="B37" s="90" t="s">
        <v>869</v>
      </c>
      <c r="C37" s="90" t="s">
        <v>870</v>
      </c>
      <c r="D37" s="91" t="s">
        <v>871</v>
      </c>
      <c r="E37" s="90" t="s">
        <v>157</v>
      </c>
      <c r="F37" s="90"/>
      <c r="G37" s="92">
        <v>0</v>
      </c>
      <c r="H37" s="92">
        <v>0</v>
      </c>
      <c r="I37" s="93">
        <v>0</v>
      </c>
      <c r="J37" s="93"/>
      <c r="K37" s="93">
        <v>0</v>
      </c>
      <c r="L37" s="92">
        <v>0</v>
      </c>
      <c r="M37" s="93">
        <v>0</v>
      </c>
      <c r="N37" s="93"/>
      <c r="O37" t="str">
        <f>CONCATENATE(A37,B37)</f>
        <v>1000000143270</v>
      </c>
      <c r="P37" s="3">
        <f>+I37</f>
        <v>0</v>
      </c>
    </row>
    <row r="38" spans="1:16" x14ac:dyDescent="0.25">
      <c r="A38" s="90" t="s">
        <v>153</v>
      </c>
      <c r="B38" s="90" t="s">
        <v>872</v>
      </c>
      <c r="C38" s="90" t="s">
        <v>873</v>
      </c>
      <c r="D38" s="91" t="s">
        <v>874</v>
      </c>
      <c r="E38" s="90" t="s">
        <v>157</v>
      </c>
      <c r="F38" s="90"/>
      <c r="G38" s="92">
        <v>0</v>
      </c>
      <c r="H38" s="92">
        <v>0</v>
      </c>
      <c r="I38" s="93">
        <v>0</v>
      </c>
      <c r="J38" s="93"/>
      <c r="K38" s="93">
        <v>0</v>
      </c>
      <c r="L38" s="92">
        <v>0</v>
      </c>
      <c r="M38" s="93">
        <v>0</v>
      </c>
      <c r="N38" s="93"/>
      <c r="O38" t="str">
        <f>CONCATENATE(A38,B38)</f>
        <v>1000000143280</v>
      </c>
      <c r="P38" s="3">
        <f>+I38</f>
        <v>0</v>
      </c>
    </row>
    <row r="39" spans="1:16" x14ac:dyDescent="0.25">
      <c r="A39" s="90" t="s">
        <v>153</v>
      </c>
      <c r="B39" s="90" t="s">
        <v>875</v>
      </c>
      <c r="C39" s="90" t="s">
        <v>876</v>
      </c>
      <c r="D39" s="91" t="s">
        <v>877</v>
      </c>
      <c r="E39" s="90" t="s">
        <v>157</v>
      </c>
      <c r="F39" s="90"/>
      <c r="G39" s="92">
        <v>0</v>
      </c>
      <c r="H39" s="92">
        <v>0</v>
      </c>
      <c r="I39" s="93">
        <v>0</v>
      </c>
      <c r="J39" s="93"/>
      <c r="K39" s="93">
        <v>0</v>
      </c>
      <c r="L39" s="92">
        <v>0</v>
      </c>
      <c r="M39" s="93">
        <v>0</v>
      </c>
      <c r="N39" s="93"/>
      <c r="O39" t="str">
        <f>CONCATENATE(A39,B39)</f>
        <v>1000000143285</v>
      </c>
      <c r="P39" s="3">
        <f>+I39</f>
        <v>0</v>
      </c>
    </row>
    <row r="40" spans="1:16" x14ac:dyDescent="0.25">
      <c r="A40" s="90" t="s">
        <v>153</v>
      </c>
      <c r="B40" s="90" t="s">
        <v>222</v>
      </c>
      <c r="C40" s="90" t="s">
        <v>223</v>
      </c>
      <c r="D40" s="91" t="s">
        <v>224</v>
      </c>
      <c r="E40" s="90" t="s">
        <v>157</v>
      </c>
      <c r="F40" s="90"/>
      <c r="G40" s="92">
        <v>-5000</v>
      </c>
      <c r="H40" s="92">
        <v>-5000</v>
      </c>
      <c r="I40" s="93">
        <v>-1750</v>
      </c>
      <c r="J40" s="93"/>
      <c r="K40" s="93">
        <v>0</v>
      </c>
      <c r="L40" s="92">
        <v>-3250</v>
      </c>
      <c r="M40" s="93">
        <v>35</v>
      </c>
      <c r="N40" s="93"/>
      <c r="O40" t="str">
        <f>CONCATENATE(A40,B40)</f>
        <v>1000000143290</v>
      </c>
      <c r="P40" s="3">
        <f>+I40</f>
        <v>-1750</v>
      </c>
    </row>
    <row r="41" spans="1:16" x14ac:dyDescent="0.25">
      <c r="A41" s="90" t="s">
        <v>153</v>
      </c>
      <c r="B41" s="90" t="s">
        <v>504</v>
      </c>
      <c r="C41" s="90" t="s">
        <v>505</v>
      </c>
      <c r="D41" s="91" t="s">
        <v>506</v>
      </c>
      <c r="E41" s="90" t="s">
        <v>157</v>
      </c>
      <c r="F41" s="90"/>
      <c r="G41" s="92">
        <v>0</v>
      </c>
      <c r="H41" s="92">
        <v>0</v>
      </c>
      <c r="I41" s="93">
        <v>-34782.6</v>
      </c>
      <c r="J41" s="93"/>
      <c r="K41" s="93">
        <v>0</v>
      </c>
      <c r="L41" s="92">
        <v>34782.6</v>
      </c>
      <c r="M41" s="93">
        <v>100</v>
      </c>
      <c r="N41" s="93"/>
      <c r="O41" t="str">
        <f>CONCATENATE(A41,B41)</f>
        <v>1000000143400</v>
      </c>
      <c r="P41" s="3">
        <f>+I41</f>
        <v>-34782.6</v>
      </c>
    </row>
    <row r="42" spans="1:16" x14ac:dyDescent="0.25">
      <c r="A42" s="90" t="s">
        <v>153</v>
      </c>
      <c r="B42" s="90" t="s">
        <v>573</v>
      </c>
      <c r="C42" s="90" t="s">
        <v>574</v>
      </c>
      <c r="D42" s="91" t="s">
        <v>575</v>
      </c>
      <c r="E42" s="90" t="s">
        <v>157</v>
      </c>
      <c r="F42" s="90"/>
      <c r="G42" s="92">
        <v>0</v>
      </c>
      <c r="H42" s="92">
        <v>0</v>
      </c>
      <c r="I42" s="93">
        <v>0</v>
      </c>
      <c r="J42" s="93"/>
      <c r="K42" s="93">
        <v>0</v>
      </c>
      <c r="L42" s="92">
        <v>0</v>
      </c>
      <c r="M42" s="93">
        <v>0</v>
      </c>
      <c r="N42" s="93"/>
      <c r="O42" t="str">
        <f>CONCATENATE(A42,B42)</f>
        <v>1000000143410</v>
      </c>
      <c r="P42" s="3">
        <f>+I42</f>
        <v>0</v>
      </c>
    </row>
    <row r="43" spans="1:16" x14ac:dyDescent="0.25">
      <c r="A43" s="90" t="s">
        <v>153</v>
      </c>
      <c r="B43" s="90" t="s">
        <v>878</v>
      </c>
      <c r="C43" s="90" t="s">
        <v>879</v>
      </c>
      <c r="D43" s="91" t="s">
        <v>880</v>
      </c>
      <c r="E43" s="90" t="s">
        <v>157</v>
      </c>
      <c r="F43" s="90"/>
      <c r="G43" s="92">
        <v>0</v>
      </c>
      <c r="H43" s="92">
        <v>0</v>
      </c>
      <c r="I43" s="93">
        <v>0</v>
      </c>
      <c r="J43" s="93"/>
      <c r="K43" s="93">
        <v>0</v>
      </c>
      <c r="L43" s="92">
        <v>0</v>
      </c>
      <c r="M43" s="93">
        <v>0</v>
      </c>
      <c r="N43" s="93"/>
      <c r="O43" t="str">
        <f>CONCATENATE(A43,B43)</f>
        <v>1000000143450</v>
      </c>
      <c r="P43" s="3">
        <f>+I43</f>
        <v>0</v>
      </c>
    </row>
    <row r="44" spans="1:16" x14ac:dyDescent="0.25">
      <c r="A44" s="90" t="s">
        <v>153</v>
      </c>
      <c r="B44" s="90" t="s">
        <v>881</v>
      </c>
      <c r="C44" s="90" t="s">
        <v>882</v>
      </c>
      <c r="D44" s="91" t="s">
        <v>883</v>
      </c>
      <c r="E44" s="90" t="s">
        <v>157</v>
      </c>
      <c r="F44" s="90"/>
      <c r="G44" s="92">
        <v>0</v>
      </c>
      <c r="H44" s="92">
        <v>0</v>
      </c>
      <c r="I44" s="93">
        <v>0</v>
      </c>
      <c r="J44" s="93"/>
      <c r="K44" s="93">
        <v>0</v>
      </c>
      <c r="L44" s="92">
        <v>0</v>
      </c>
      <c r="M44" s="93">
        <v>0</v>
      </c>
      <c r="N44" s="93"/>
      <c r="O44" t="str">
        <f>CONCATENATE(A44,B44)</f>
        <v>1000000143770</v>
      </c>
      <c r="P44" s="3">
        <f>+I44</f>
        <v>0</v>
      </c>
    </row>
    <row r="45" spans="1:16" x14ac:dyDescent="0.25">
      <c r="A45" s="90" t="s">
        <v>153</v>
      </c>
      <c r="B45" s="90" t="s">
        <v>884</v>
      </c>
      <c r="C45" s="90" t="s">
        <v>885</v>
      </c>
      <c r="D45" s="91" t="s">
        <v>886</v>
      </c>
      <c r="E45" s="90" t="s">
        <v>157</v>
      </c>
      <c r="F45" s="90"/>
      <c r="G45" s="92">
        <v>0</v>
      </c>
      <c r="H45" s="92">
        <v>0</v>
      </c>
      <c r="I45" s="93">
        <v>0</v>
      </c>
      <c r="J45" s="93"/>
      <c r="K45" s="93">
        <v>0</v>
      </c>
      <c r="L45" s="92">
        <v>0</v>
      </c>
      <c r="M45" s="93">
        <v>0</v>
      </c>
      <c r="N45" s="93"/>
      <c r="O45" t="str">
        <f>CONCATENATE(A45,B45)</f>
        <v>1000000143775</v>
      </c>
      <c r="P45" s="3">
        <f>+I45</f>
        <v>0</v>
      </c>
    </row>
    <row r="46" spans="1:16" x14ac:dyDescent="0.25">
      <c r="A46" s="90" t="s">
        <v>153</v>
      </c>
      <c r="B46" s="90" t="s">
        <v>887</v>
      </c>
      <c r="C46" s="90" t="s">
        <v>888</v>
      </c>
      <c r="D46" s="91" t="s">
        <v>889</v>
      </c>
      <c r="E46" s="90" t="s">
        <v>157</v>
      </c>
      <c r="F46" s="90"/>
      <c r="G46" s="92">
        <v>0</v>
      </c>
      <c r="H46" s="92">
        <v>0</v>
      </c>
      <c r="I46" s="93">
        <v>0</v>
      </c>
      <c r="J46" s="93"/>
      <c r="K46" s="93">
        <v>0</v>
      </c>
      <c r="L46" s="92">
        <v>0</v>
      </c>
      <c r="M46" s="93">
        <v>0</v>
      </c>
      <c r="N46" s="93"/>
      <c r="O46" t="str">
        <f>CONCATENATE(A46,B46)</f>
        <v>1000000143780</v>
      </c>
      <c r="P46" s="3">
        <f>+I46</f>
        <v>0</v>
      </c>
    </row>
    <row r="47" spans="1:16" x14ac:dyDescent="0.25">
      <c r="A47" s="90" t="s">
        <v>153</v>
      </c>
      <c r="B47" s="90" t="s">
        <v>225</v>
      </c>
      <c r="C47" s="90" t="s">
        <v>226</v>
      </c>
      <c r="D47" s="91" t="s">
        <v>227</v>
      </c>
      <c r="E47" s="90" t="s">
        <v>157</v>
      </c>
      <c r="F47" s="90"/>
      <c r="G47" s="92">
        <v>-350000</v>
      </c>
      <c r="H47" s="92">
        <v>-350000</v>
      </c>
      <c r="I47" s="93">
        <v>0</v>
      </c>
      <c r="J47" s="93"/>
      <c r="K47" s="93">
        <v>0</v>
      </c>
      <c r="L47" s="92">
        <v>-350000</v>
      </c>
      <c r="M47" s="93">
        <v>0</v>
      </c>
      <c r="N47" s="93"/>
      <c r="O47" t="str">
        <f>CONCATENATE(A47,B47)</f>
        <v>1000000144010</v>
      </c>
      <c r="P47" s="3">
        <f>+I47</f>
        <v>0</v>
      </c>
    </row>
    <row r="48" spans="1:16" x14ac:dyDescent="0.25">
      <c r="A48" s="90" t="s">
        <v>153</v>
      </c>
      <c r="B48" s="90" t="s">
        <v>228</v>
      </c>
      <c r="C48" s="90" t="s">
        <v>229</v>
      </c>
      <c r="D48" s="91" t="s">
        <v>230</v>
      </c>
      <c r="E48" s="90" t="s">
        <v>157</v>
      </c>
      <c r="F48" s="90"/>
      <c r="G48" s="92">
        <v>-3500000</v>
      </c>
      <c r="H48" s="92">
        <v>-3500000</v>
      </c>
      <c r="I48" s="93">
        <v>-7565055.3300000001</v>
      </c>
      <c r="J48" s="93"/>
      <c r="K48" s="93">
        <v>0</v>
      </c>
      <c r="L48" s="92">
        <v>4065055.33</v>
      </c>
      <c r="M48" s="93">
        <v>216.1</v>
      </c>
      <c r="N48" s="93"/>
      <c r="O48" t="str">
        <f>CONCATENATE(A48,B48)</f>
        <v>1000000144020</v>
      </c>
      <c r="P48" s="3">
        <f>+I48</f>
        <v>-7565055.3300000001</v>
      </c>
    </row>
    <row r="49" spans="1:16" x14ac:dyDescent="0.25">
      <c r="A49" s="90" t="s">
        <v>153</v>
      </c>
      <c r="B49" s="90" t="s">
        <v>231</v>
      </c>
      <c r="C49" s="90" t="s">
        <v>232</v>
      </c>
      <c r="D49" s="91" t="s">
        <v>233</v>
      </c>
      <c r="E49" s="90" t="s">
        <v>157</v>
      </c>
      <c r="F49" s="90"/>
      <c r="G49" s="92">
        <v>-5000000</v>
      </c>
      <c r="H49" s="92">
        <v>-5000000</v>
      </c>
      <c r="I49" s="93">
        <v>0</v>
      </c>
      <c r="J49" s="93"/>
      <c r="K49" s="93">
        <v>0</v>
      </c>
      <c r="L49" s="92">
        <v>-5000000</v>
      </c>
      <c r="M49" s="93">
        <v>0</v>
      </c>
      <c r="N49" s="93"/>
      <c r="O49" t="str">
        <f>CONCATENATE(A49,B49)</f>
        <v>1000000144030</v>
      </c>
      <c r="P49" s="3">
        <f>+I49</f>
        <v>0</v>
      </c>
    </row>
    <row r="50" spans="1:16" x14ac:dyDescent="0.25">
      <c r="A50" s="90" t="s">
        <v>153</v>
      </c>
      <c r="B50" s="90" t="s">
        <v>234</v>
      </c>
      <c r="C50" s="90" t="s">
        <v>235</v>
      </c>
      <c r="D50" s="91" t="s">
        <v>236</v>
      </c>
      <c r="E50" s="90" t="s">
        <v>157</v>
      </c>
      <c r="F50" s="90"/>
      <c r="G50" s="92">
        <v>-50046</v>
      </c>
      <c r="H50" s="92">
        <v>-50046</v>
      </c>
      <c r="I50" s="93">
        <v>0</v>
      </c>
      <c r="J50" s="93"/>
      <c r="K50" s="93">
        <v>0</v>
      </c>
      <c r="L50" s="92">
        <v>-50046</v>
      </c>
      <c r="M50" s="93">
        <v>0</v>
      </c>
      <c r="N50" s="93"/>
      <c r="O50" t="str">
        <f>CONCATENATE(A50,B50)</f>
        <v>1000000144040</v>
      </c>
      <c r="P50" s="3">
        <f>+I50</f>
        <v>0</v>
      </c>
    </row>
    <row r="51" spans="1:16" x14ac:dyDescent="0.25">
      <c r="A51" s="90" t="s">
        <v>153</v>
      </c>
      <c r="B51" s="90" t="s">
        <v>890</v>
      </c>
      <c r="C51" s="90" t="s">
        <v>891</v>
      </c>
      <c r="D51" s="91" t="s">
        <v>892</v>
      </c>
      <c r="E51" s="90" t="s">
        <v>157</v>
      </c>
      <c r="F51" s="90"/>
      <c r="G51" s="92">
        <v>-8270</v>
      </c>
      <c r="H51" s="92">
        <v>-8270</v>
      </c>
      <c r="I51" s="93">
        <v>0</v>
      </c>
      <c r="J51" s="93"/>
      <c r="K51" s="93">
        <v>0</v>
      </c>
      <c r="L51" s="92">
        <v>-8270</v>
      </c>
      <c r="M51" s="93">
        <v>0</v>
      </c>
      <c r="N51" s="93"/>
      <c r="O51" t="str">
        <f>CONCATENATE(A51,B51)</f>
        <v>1000000144050</v>
      </c>
      <c r="P51" s="3">
        <f>+I51</f>
        <v>0</v>
      </c>
    </row>
    <row r="52" spans="1:16" x14ac:dyDescent="0.25">
      <c r="A52" s="90" t="s">
        <v>153</v>
      </c>
      <c r="B52" s="90" t="s">
        <v>893</v>
      </c>
      <c r="C52" s="90" t="s">
        <v>894</v>
      </c>
      <c r="D52" s="91" t="s">
        <v>895</v>
      </c>
      <c r="E52" s="90" t="s">
        <v>157</v>
      </c>
      <c r="F52" s="90"/>
      <c r="G52" s="92">
        <v>0</v>
      </c>
      <c r="H52" s="92">
        <v>0</v>
      </c>
      <c r="I52" s="93">
        <v>-30</v>
      </c>
      <c r="J52" s="93"/>
      <c r="K52" s="93">
        <v>0</v>
      </c>
      <c r="L52" s="92">
        <v>30</v>
      </c>
      <c r="M52" s="93">
        <v>100</v>
      </c>
      <c r="N52" s="93"/>
      <c r="O52" t="str">
        <f>CONCATENATE(A52,B52)</f>
        <v>1000000144070</v>
      </c>
      <c r="P52" s="3">
        <f>+I52</f>
        <v>-30</v>
      </c>
    </row>
    <row r="53" spans="1:16" x14ac:dyDescent="0.25">
      <c r="A53" s="90" t="s">
        <v>153</v>
      </c>
      <c r="B53" s="90" t="s">
        <v>237</v>
      </c>
      <c r="C53" s="90" t="s">
        <v>238</v>
      </c>
      <c r="D53" s="91" t="s">
        <v>239</v>
      </c>
      <c r="E53" s="90" t="s">
        <v>157</v>
      </c>
      <c r="F53" s="90"/>
      <c r="G53" s="92">
        <v>-43900</v>
      </c>
      <c r="H53" s="92">
        <v>-43900</v>
      </c>
      <c r="I53" s="93">
        <v>-35284.97</v>
      </c>
      <c r="J53" s="93"/>
      <c r="K53" s="93">
        <v>0</v>
      </c>
      <c r="L53" s="92">
        <v>-8615.0300000000007</v>
      </c>
      <c r="M53" s="93">
        <v>80.400000000000006</v>
      </c>
      <c r="N53" s="93"/>
      <c r="O53" t="str">
        <f>CONCATENATE(A53,B53)</f>
        <v>1000000144100</v>
      </c>
      <c r="P53" s="3">
        <f>+I53</f>
        <v>-35284.97</v>
      </c>
    </row>
    <row r="54" spans="1:16" x14ac:dyDescent="0.25">
      <c r="A54" s="90" t="s">
        <v>153</v>
      </c>
      <c r="B54" s="90" t="s">
        <v>896</v>
      </c>
      <c r="C54" s="90" t="s">
        <v>897</v>
      </c>
      <c r="D54" s="91" t="s">
        <v>898</v>
      </c>
      <c r="E54" s="90" t="s">
        <v>157</v>
      </c>
      <c r="F54" s="90"/>
      <c r="G54" s="92">
        <v>0</v>
      </c>
      <c r="H54" s="92">
        <v>0</v>
      </c>
      <c r="I54" s="93">
        <v>0</v>
      </c>
      <c r="J54" s="93"/>
      <c r="K54" s="93">
        <v>0</v>
      </c>
      <c r="L54" s="92">
        <v>0</v>
      </c>
      <c r="M54" s="93">
        <v>0</v>
      </c>
      <c r="N54" s="93"/>
      <c r="O54" t="str">
        <f>CONCATENATE(A54,B54)</f>
        <v>1000000144105</v>
      </c>
      <c r="P54" s="3">
        <f>+I54</f>
        <v>0</v>
      </c>
    </row>
    <row r="55" spans="1:16" x14ac:dyDescent="0.25">
      <c r="A55" s="90" t="s">
        <v>153</v>
      </c>
      <c r="B55" s="90" t="s">
        <v>240</v>
      </c>
      <c r="C55" s="90" t="s">
        <v>241</v>
      </c>
      <c r="D55" s="91" t="s">
        <v>242</v>
      </c>
      <c r="E55" s="90" t="s">
        <v>157</v>
      </c>
      <c r="F55" s="90"/>
      <c r="G55" s="92">
        <v>-650000</v>
      </c>
      <c r="H55" s="92">
        <v>-650000</v>
      </c>
      <c r="I55" s="93">
        <v>-605066.42000000004</v>
      </c>
      <c r="J55" s="93"/>
      <c r="K55" s="93">
        <v>0</v>
      </c>
      <c r="L55" s="92">
        <v>-44933.58</v>
      </c>
      <c r="M55" s="93">
        <v>93.1</v>
      </c>
      <c r="N55" s="93"/>
      <c r="O55" t="str">
        <f>CONCATENATE(A55,B55)</f>
        <v>1000000144110</v>
      </c>
      <c r="P55" s="3">
        <f>+I55</f>
        <v>-605066.42000000004</v>
      </c>
    </row>
    <row r="56" spans="1:16" x14ac:dyDescent="0.25">
      <c r="A56" s="90" t="s">
        <v>153</v>
      </c>
      <c r="B56" s="90" t="s">
        <v>243</v>
      </c>
      <c r="C56" s="90" t="s">
        <v>244</v>
      </c>
      <c r="D56" s="91" t="s">
        <v>245</v>
      </c>
      <c r="E56" s="90" t="s">
        <v>157</v>
      </c>
      <c r="F56" s="90"/>
      <c r="G56" s="92">
        <v>-30000</v>
      </c>
      <c r="H56" s="92">
        <v>-30000</v>
      </c>
      <c r="I56" s="93">
        <v>-30690</v>
      </c>
      <c r="J56" s="93"/>
      <c r="K56" s="93">
        <v>0</v>
      </c>
      <c r="L56" s="92">
        <v>690</v>
      </c>
      <c r="M56" s="93">
        <v>102.3</v>
      </c>
      <c r="N56" s="93"/>
      <c r="O56" t="str">
        <f>CONCATENATE(A56,B56)</f>
        <v>1000000144120</v>
      </c>
      <c r="P56" s="3">
        <f>+I56</f>
        <v>-30690</v>
      </c>
    </row>
    <row r="57" spans="1:16" x14ac:dyDescent="0.25">
      <c r="A57" s="90" t="s">
        <v>153</v>
      </c>
      <c r="B57" s="90" t="s">
        <v>246</v>
      </c>
      <c r="C57" s="90" t="s">
        <v>247</v>
      </c>
      <c r="D57" s="91" t="s">
        <v>248</v>
      </c>
      <c r="E57" s="90" t="s">
        <v>157</v>
      </c>
      <c r="F57" s="90"/>
      <c r="G57" s="92">
        <v>-35000</v>
      </c>
      <c r="H57" s="92">
        <v>-35000</v>
      </c>
      <c r="I57" s="93">
        <v>-29255.7</v>
      </c>
      <c r="J57" s="93"/>
      <c r="K57" s="93">
        <v>0</v>
      </c>
      <c r="L57" s="92">
        <v>-5744.3</v>
      </c>
      <c r="M57" s="93">
        <v>83.6</v>
      </c>
      <c r="N57" s="93"/>
      <c r="O57" t="str">
        <f>CONCATENATE(A57,B57)</f>
        <v>1000000144130</v>
      </c>
      <c r="P57" s="3">
        <f>+I57</f>
        <v>-29255.7</v>
      </c>
    </row>
    <row r="58" spans="1:16" x14ac:dyDescent="0.25">
      <c r="A58" s="90" t="s">
        <v>153</v>
      </c>
      <c r="B58" s="90" t="s">
        <v>899</v>
      </c>
      <c r="C58" s="90" t="s">
        <v>900</v>
      </c>
      <c r="D58" s="91" t="s">
        <v>901</v>
      </c>
      <c r="E58" s="90" t="s">
        <v>157</v>
      </c>
      <c r="F58" s="90"/>
      <c r="G58" s="92">
        <v>-1600</v>
      </c>
      <c r="H58" s="92">
        <v>-1600</v>
      </c>
      <c r="I58" s="93">
        <v>0</v>
      </c>
      <c r="J58" s="93"/>
      <c r="K58" s="93">
        <v>0</v>
      </c>
      <c r="L58" s="92">
        <v>-1600</v>
      </c>
      <c r="M58" s="93">
        <v>0</v>
      </c>
      <c r="N58" s="93"/>
      <c r="O58" t="str">
        <f>CONCATENATE(A58,B58)</f>
        <v>1000000144135</v>
      </c>
      <c r="P58" s="3">
        <f>+I58</f>
        <v>0</v>
      </c>
    </row>
    <row r="59" spans="1:16" x14ac:dyDescent="0.25">
      <c r="A59" s="90" t="s">
        <v>153</v>
      </c>
      <c r="B59" s="90" t="s">
        <v>902</v>
      </c>
      <c r="C59" s="90" t="s">
        <v>903</v>
      </c>
      <c r="D59" s="91" t="s">
        <v>904</v>
      </c>
      <c r="E59" s="90" t="s">
        <v>157</v>
      </c>
      <c r="F59" s="90"/>
      <c r="G59" s="92">
        <v>0</v>
      </c>
      <c r="H59" s="92">
        <v>0</v>
      </c>
      <c r="I59" s="93">
        <v>0</v>
      </c>
      <c r="J59" s="93"/>
      <c r="K59" s="93">
        <v>0</v>
      </c>
      <c r="L59" s="92">
        <v>0</v>
      </c>
      <c r="M59" s="93">
        <v>0</v>
      </c>
      <c r="N59" s="93"/>
      <c r="O59" t="str">
        <f>CONCATENATE(A59,B59)</f>
        <v>1000000144136</v>
      </c>
      <c r="P59" s="13">
        <f>+I59</f>
        <v>0</v>
      </c>
    </row>
    <row r="60" spans="1:16" x14ac:dyDescent="0.25">
      <c r="A60" s="90" t="s">
        <v>153</v>
      </c>
      <c r="B60" s="90" t="s">
        <v>507</v>
      </c>
      <c r="C60" s="90" t="s">
        <v>508</v>
      </c>
      <c r="D60" s="91" t="s">
        <v>509</v>
      </c>
      <c r="E60" s="90" t="s">
        <v>157</v>
      </c>
      <c r="F60" s="90"/>
      <c r="G60" s="92">
        <v>0</v>
      </c>
      <c r="H60" s="92">
        <v>0</v>
      </c>
      <c r="I60" s="93">
        <v>-45248.800000000003</v>
      </c>
      <c r="J60" s="93"/>
      <c r="K60" s="93">
        <v>0</v>
      </c>
      <c r="L60" s="92">
        <v>45248.800000000003</v>
      </c>
      <c r="M60" s="93">
        <v>100</v>
      </c>
      <c r="N60" s="93"/>
      <c r="O60" t="str">
        <f>CONCATENATE(A60,B60)</f>
        <v>1000000144140</v>
      </c>
      <c r="P60" s="13">
        <f>+I60</f>
        <v>-45248.800000000003</v>
      </c>
    </row>
    <row r="61" spans="1:16" x14ac:dyDescent="0.25">
      <c r="A61" s="90" t="s">
        <v>153</v>
      </c>
      <c r="B61" s="90" t="s">
        <v>905</v>
      </c>
      <c r="C61" s="90" t="s">
        <v>906</v>
      </c>
      <c r="D61" s="91" t="s">
        <v>907</v>
      </c>
      <c r="E61" s="90" t="s">
        <v>157</v>
      </c>
      <c r="F61" s="90"/>
      <c r="G61" s="92">
        <v>0</v>
      </c>
      <c r="H61" s="92">
        <v>0</v>
      </c>
      <c r="I61" s="93">
        <v>0</v>
      </c>
      <c r="J61" s="93"/>
      <c r="K61" s="93">
        <v>0</v>
      </c>
      <c r="L61" s="92">
        <v>0</v>
      </c>
      <c r="M61" s="93">
        <v>0</v>
      </c>
      <c r="N61" s="93"/>
      <c r="O61" t="str">
        <f>CONCATENATE(A61,B61)</f>
        <v>1000000144145</v>
      </c>
      <c r="P61" s="13">
        <f>+I61</f>
        <v>0</v>
      </c>
    </row>
    <row r="62" spans="1:16" x14ac:dyDescent="0.25">
      <c r="A62" s="90" t="s">
        <v>153</v>
      </c>
      <c r="B62" s="90" t="s">
        <v>249</v>
      </c>
      <c r="C62" s="90" t="s">
        <v>250</v>
      </c>
      <c r="D62" s="91" t="s">
        <v>251</v>
      </c>
      <c r="E62" s="90" t="s">
        <v>157</v>
      </c>
      <c r="F62" s="90"/>
      <c r="G62" s="92">
        <v>-51000</v>
      </c>
      <c r="H62" s="92">
        <v>-51000</v>
      </c>
      <c r="I62" s="93">
        <v>-71073.69</v>
      </c>
      <c r="J62" s="93"/>
      <c r="K62" s="93">
        <v>0</v>
      </c>
      <c r="L62" s="92">
        <v>20073.689999999999</v>
      </c>
      <c r="M62" s="93">
        <v>139.4</v>
      </c>
      <c r="N62" s="93"/>
      <c r="O62" t="str">
        <f>CONCATENATE(A62,B62)</f>
        <v>100000014414A</v>
      </c>
      <c r="P62" s="13">
        <f>+I62</f>
        <v>-71073.69</v>
      </c>
    </row>
    <row r="63" spans="1:16" x14ac:dyDescent="0.25">
      <c r="A63" s="90" t="s">
        <v>153</v>
      </c>
      <c r="B63" s="90" t="s">
        <v>252</v>
      </c>
      <c r="C63" s="90" t="s">
        <v>253</v>
      </c>
      <c r="D63" s="91" t="s">
        <v>254</v>
      </c>
      <c r="E63" s="90" t="s">
        <v>157</v>
      </c>
      <c r="F63" s="90"/>
      <c r="G63" s="92">
        <v>-70000</v>
      </c>
      <c r="H63" s="92">
        <v>-70000</v>
      </c>
      <c r="I63" s="93">
        <v>-58066.86</v>
      </c>
      <c r="J63" s="93"/>
      <c r="K63" s="93">
        <v>0</v>
      </c>
      <c r="L63" s="92">
        <v>-11933.14</v>
      </c>
      <c r="M63" s="93">
        <v>83</v>
      </c>
      <c r="N63" s="93"/>
      <c r="O63" t="str">
        <f>CONCATENATE(A63,B63)</f>
        <v>100000014414B</v>
      </c>
      <c r="P63" s="13">
        <f>+I63</f>
        <v>-58066.86</v>
      </c>
    </row>
    <row r="64" spans="1:16" x14ac:dyDescent="0.25">
      <c r="A64" s="90" t="s">
        <v>153</v>
      </c>
      <c r="B64" s="90" t="s">
        <v>908</v>
      </c>
      <c r="C64" s="90" t="s">
        <v>909</v>
      </c>
      <c r="D64" s="91" t="s">
        <v>910</v>
      </c>
      <c r="E64" s="90" t="s">
        <v>157</v>
      </c>
      <c r="F64" s="90"/>
      <c r="G64" s="92">
        <v>0</v>
      </c>
      <c r="H64" s="92">
        <v>0</v>
      </c>
      <c r="I64" s="93">
        <v>0</v>
      </c>
      <c r="J64" s="93"/>
      <c r="K64" s="93">
        <v>0</v>
      </c>
      <c r="L64" s="92">
        <v>0</v>
      </c>
      <c r="M64" s="93">
        <v>0</v>
      </c>
      <c r="N64" s="93"/>
      <c r="O64" t="str">
        <f>CONCATENATE(A64,B64)</f>
        <v>100000014414C</v>
      </c>
      <c r="P64" s="13">
        <f>+I64</f>
        <v>0</v>
      </c>
    </row>
    <row r="65" spans="1:16" x14ac:dyDescent="0.25">
      <c r="A65" s="90" t="s">
        <v>153</v>
      </c>
      <c r="B65" s="90" t="s">
        <v>911</v>
      </c>
      <c r="C65" s="90" t="s">
        <v>912</v>
      </c>
      <c r="D65" s="91" t="s">
        <v>913</v>
      </c>
      <c r="E65" s="90" t="s">
        <v>157</v>
      </c>
      <c r="F65" s="90"/>
      <c r="G65" s="92">
        <v>0</v>
      </c>
      <c r="H65" s="92">
        <v>0</v>
      </c>
      <c r="I65" s="93">
        <v>0</v>
      </c>
      <c r="J65" s="93"/>
      <c r="K65" s="93">
        <v>0</v>
      </c>
      <c r="L65" s="92">
        <v>0</v>
      </c>
      <c r="M65" s="93">
        <v>0</v>
      </c>
      <c r="N65" s="93"/>
      <c r="O65" t="str">
        <f>CONCATENATE(A65,B65)</f>
        <v>100000014414D</v>
      </c>
      <c r="P65" s="13">
        <f>+I65</f>
        <v>0</v>
      </c>
    </row>
    <row r="66" spans="1:16" x14ac:dyDescent="0.25">
      <c r="A66" s="90" t="s">
        <v>153</v>
      </c>
      <c r="B66" s="90" t="s">
        <v>255</v>
      </c>
      <c r="C66" s="90" t="s">
        <v>256</v>
      </c>
      <c r="D66" s="91" t="s">
        <v>257</v>
      </c>
      <c r="E66" s="90" t="s">
        <v>157</v>
      </c>
      <c r="F66" s="90"/>
      <c r="G66" s="92">
        <v>-115663</v>
      </c>
      <c r="H66" s="92">
        <v>-115663</v>
      </c>
      <c r="I66" s="93">
        <v>-115899.71</v>
      </c>
      <c r="J66" s="93"/>
      <c r="K66" s="93">
        <v>0</v>
      </c>
      <c r="L66" s="92">
        <v>236.71</v>
      </c>
      <c r="M66" s="93">
        <v>100.2</v>
      </c>
      <c r="N66" s="93"/>
      <c r="O66" t="str">
        <f>CONCATENATE(A66,B66)</f>
        <v>1000000144150</v>
      </c>
      <c r="P66" s="13">
        <f>+I66</f>
        <v>-115899.71</v>
      </c>
    </row>
    <row r="67" spans="1:16" x14ac:dyDescent="0.25">
      <c r="A67" s="90" t="s">
        <v>153</v>
      </c>
      <c r="B67" s="90" t="s">
        <v>914</v>
      </c>
      <c r="C67" s="90" t="s">
        <v>915</v>
      </c>
      <c r="D67" s="91" t="s">
        <v>916</v>
      </c>
      <c r="E67" s="90" t="s">
        <v>157</v>
      </c>
      <c r="F67" s="90"/>
      <c r="G67" s="92">
        <v>0</v>
      </c>
      <c r="H67" s="92">
        <v>0</v>
      </c>
      <c r="I67" s="93">
        <v>0</v>
      </c>
      <c r="J67" s="93"/>
      <c r="K67" s="93">
        <v>0</v>
      </c>
      <c r="L67" s="92">
        <v>0</v>
      </c>
      <c r="M67" s="93">
        <v>0</v>
      </c>
      <c r="N67" s="93"/>
      <c r="O67" t="str">
        <f>CONCATENATE(A67,B67)</f>
        <v>1000000144155</v>
      </c>
      <c r="P67" s="13">
        <f>+I67</f>
        <v>0</v>
      </c>
    </row>
    <row r="68" spans="1:16" x14ac:dyDescent="0.25">
      <c r="A68" s="90" t="s">
        <v>153</v>
      </c>
      <c r="B68" s="90" t="s">
        <v>258</v>
      </c>
      <c r="C68" s="90" t="s">
        <v>259</v>
      </c>
      <c r="D68" s="91" t="s">
        <v>260</v>
      </c>
      <c r="E68" s="90" t="s">
        <v>157</v>
      </c>
      <c r="F68" s="90"/>
      <c r="G68" s="92">
        <v>-15158</v>
      </c>
      <c r="H68" s="92">
        <v>-15158</v>
      </c>
      <c r="I68" s="93">
        <v>-18947</v>
      </c>
      <c r="J68" s="93"/>
      <c r="K68" s="93">
        <v>0</v>
      </c>
      <c r="L68" s="92">
        <v>3789</v>
      </c>
      <c r="M68" s="93">
        <v>125</v>
      </c>
      <c r="N68" s="93"/>
      <c r="O68" t="str">
        <f>CONCATENATE(A68,B68)</f>
        <v>1000000144160</v>
      </c>
      <c r="P68" s="13">
        <f>+I68</f>
        <v>-18947</v>
      </c>
    </row>
    <row r="69" spans="1:16" x14ac:dyDescent="0.25">
      <c r="A69" s="90" t="s">
        <v>153</v>
      </c>
      <c r="B69" s="90" t="s">
        <v>261</v>
      </c>
      <c r="C69" s="90" t="s">
        <v>262</v>
      </c>
      <c r="D69" s="91" t="s">
        <v>263</v>
      </c>
      <c r="E69" s="90" t="s">
        <v>157</v>
      </c>
      <c r="F69" s="90"/>
      <c r="G69" s="92">
        <v>-235476</v>
      </c>
      <c r="H69" s="92">
        <v>-235476</v>
      </c>
      <c r="I69" s="93">
        <v>-250756.52</v>
      </c>
      <c r="J69" s="93"/>
      <c r="K69" s="93">
        <v>0</v>
      </c>
      <c r="L69" s="92">
        <v>15280.52</v>
      </c>
      <c r="M69" s="93">
        <v>106.5</v>
      </c>
      <c r="N69" s="93"/>
      <c r="O69" t="str">
        <f>CONCATENATE(A69,B69)</f>
        <v>1000000144170</v>
      </c>
      <c r="P69" s="13">
        <f>+I69</f>
        <v>-250756.52</v>
      </c>
    </row>
    <row r="70" spans="1:16" x14ac:dyDescent="0.25">
      <c r="A70" s="90" t="s">
        <v>153</v>
      </c>
      <c r="B70" s="90" t="s">
        <v>264</v>
      </c>
      <c r="C70" s="90" t="s">
        <v>265</v>
      </c>
      <c r="D70" s="91" t="s">
        <v>266</v>
      </c>
      <c r="E70" s="90" t="s">
        <v>157</v>
      </c>
      <c r="F70" s="90"/>
      <c r="G70" s="92">
        <v>-73700</v>
      </c>
      <c r="H70" s="92">
        <v>-73700</v>
      </c>
      <c r="I70" s="93">
        <v>-2452</v>
      </c>
      <c r="J70" s="93"/>
      <c r="K70" s="93">
        <v>0</v>
      </c>
      <c r="L70" s="92">
        <v>-71248</v>
      </c>
      <c r="M70" s="93">
        <v>3.3</v>
      </c>
      <c r="N70" s="93"/>
      <c r="O70" t="str">
        <f>CONCATENATE(A70,B70)</f>
        <v>1000000144175</v>
      </c>
      <c r="P70" s="13">
        <f>+I70</f>
        <v>-2452</v>
      </c>
    </row>
    <row r="71" spans="1:16" x14ac:dyDescent="0.25">
      <c r="A71" s="90" t="s">
        <v>153</v>
      </c>
      <c r="B71" s="90" t="s">
        <v>267</v>
      </c>
      <c r="C71" s="90" t="s">
        <v>268</v>
      </c>
      <c r="D71" s="91" t="s">
        <v>269</v>
      </c>
      <c r="E71" s="90" t="s">
        <v>157</v>
      </c>
      <c r="F71" s="90"/>
      <c r="G71" s="92">
        <v>-3950</v>
      </c>
      <c r="H71" s="92">
        <v>-3950</v>
      </c>
      <c r="I71" s="93">
        <v>-4015.5</v>
      </c>
      <c r="J71" s="93"/>
      <c r="K71" s="93">
        <v>0</v>
      </c>
      <c r="L71" s="92">
        <v>65.5</v>
      </c>
      <c r="M71" s="93">
        <v>101.7</v>
      </c>
      <c r="N71" s="93"/>
      <c r="O71" t="str">
        <f>CONCATENATE(A71,B71)</f>
        <v>1000000144180</v>
      </c>
      <c r="P71" s="13">
        <f>+I71</f>
        <v>-4015.5</v>
      </c>
    </row>
    <row r="72" spans="1:16" x14ac:dyDescent="0.25">
      <c r="A72" s="90" t="s">
        <v>153</v>
      </c>
      <c r="B72" s="90" t="s">
        <v>270</v>
      </c>
      <c r="C72" s="90" t="s">
        <v>271</v>
      </c>
      <c r="D72" s="91" t="s">
        <v>272</v>
      </c>
      <c r="E72" s="90" t="s">
        <v>157</v>
      </c>
      <c r="F72" s="90"/>
      <c r="G72" s="92">
        <v>-100000</v>
      </c>
      <c r="H72" s="92">
        <v>-100000</v>
      </c>
      <c r="I72" s="93">
        <v>-90291.97</v>
      </c>
      <c r="J72" s="93"/>
      <c r="K72" s="93">
        <v>0</v>
      </c>
      <c r="L72" s="92">
        <v>-9708.0300000000007</v>
      </c>
      <c r="M72" s="93">
        <v>90.3</v>
      </c>
      <c r="N72" s="93"/>
      <c r="O72" t="str">
        <f>CONCATENATE(A72,B72)</f>
        <v>1000000144190</v>
      </c>
      <c r="P72" s="13">
        <f>+I72</f>
        <v>-90291.97</v>
      </c>
    </row>
    <row r="73" spans="1:16" x14ac:dyDescent="0.25">
      <c r="A73" s="90" t="s">
        <v>153</v>
      </c>
      <c r="B73" s="90" t="s">
        <v>917</v>
      </c>
      <c r="C73" s="90" t="s">
        <v>918</v>
      </c>
      <c r="D73" s="91" t="s">
        <v>919</v>
      </c>
      <c r="E73" s="90" t="s">
        <v>157</v>
      </c>
      <c r="F73" s="90"/>
      <c r="G73" s="92">
        <v>0</v>
      </c>
      <c r="H73" s="92">
        <v>0</v>
      </c>
      <c r="I73" s="93">
        <v>0</v>
      </c>
      <c r="J73" s="93"/>
      <c r="K73" s="93">
        <v>0</v>
      </c>
      <c r="L73" s="92">
        <v>0</v>
      </c>
      <c r="M73" s="93">
        <v>0</v>
      </c>
      <c r="N73" s="93"/>
      <c r="O73" t="str">
        <f>CONCATENATE(A73,B73)</f>
        <v>1000000144195</v>
      </c>
      <c r="P73" s="13">
        <f>+I73</f>
        <v>0</v>
      </c>
    </row>
    <row r="74" spans="1:16" x14ac:dyDescent="0.25">
      <c r="A74" s="90" t="s">
        <v>153</v>
      </c>
      <c r="B74" s="90" t="s">
        <v>273</v>
      </c>
      <c r="C74" s="90" t="s">
        <v>274</v>
      </c>
      <c r="D74" s="91" t="s">
        <v>275</v>
      </c>
      <c r="E74" s="90" t="s">
        <v>157</v>
      </c>
      <c r="F74" s="90"/>
      <c r="G74" s="92">
        <v>-13600</v>
      </c>
      <c r="H74" s="92">
        <v>-13600</v>
      </c>
      <c r="I74" s="93">
        <v>-22859.599999999999</v>
      </c>
      <c r="J74" s="93"/>
      <c r="K74" s="93">
        <v>0</v>
      </c>
      <c r="L74" s="92">
        <v>9259.6</v>
      </c>
      <c r="M74" s="93">
        <v>168.1</v>
      </c>
      <c r="N74" s="93"/>
      <c r="O74" t="str">
        <f>CONCATENATE(A74,B74)</f>
        <v>1000000144200</v>
      </c>
      <c r="P74" s="13">
        <f>+I74</f>
        <v>-22859.599999999999</v>
      </c>
    </row>
    <row r="75" spans="1:16" x14ac:dyDescent="0.25">
      <c r="A75" s="90" t="s">
        <v>153</v>
      </c>
      <c r="B75" s="90" t="s">
        <v>276</v>
      </c>
      <c r="C75" s="90" t="s">
        <v>277</v>
      </c>
      <c r="D75" s="91" t="s">
        <v>278</v>
      </c>
      <c r="E75" s="90" t="s">
        <v>157</v>
      </c>
      <c r="F75" s="90"/>
      <c r="G75" s="92">
        <v>-1500</v>
      </c>
      <c r="H75" s="92">
        <v>-1500</v>
      </c>
      <c r="I75" s="93">
        <v>-19353.48</v>
      </c>
      <c r="J75" s="93"/>
      <c r="K75" s="93">
        <v>0</v>
      </c>
      <c r="L75" s="92">
        <v>17853.48</v>
      </c>
      <c r="M75" s="93">
        <v>1290.2</v>
      </c>
      <c r="N75" s="93"/>
      <c r="O75" t="str">
        <f>CONCATENATE(A75,B75)</f>
        <v>1000000144205</v>
      </c>
      <c r="P75" s="13">
        <f>+I75</f>
        <v>-19353.48</v>
      </c>
    </row>
    <row r="76" spans="1:16" x14ac:dyDescent="0.25">
      <c r="A76" s="90" t="s">
        <v>153</v>
      </c>
      <c r="B76" s="90" t="s">
        <v>920</v>
      </c>
      <c r="C76" s="90" t="s">
        <v>921</v>
      </c>
      <c r="D76" s="91" t="s">
        <v>922</v>
      </c>
      <c r="E76" s="90" t="s">
        <v>157</v>
      </c>
      <c r="F76" s="90"/>
      <c r="G76" s="92">
        <v>0</v>
      </c>
      <c r="H76" s="92">
        <v>0</v>
      </c>
      <c r="I76" s="93">
        <v>0</v>
      </c>
      <c r="J76" s="93"/>
      <c r="K76" s="93">
        <v>0</v>
      </c>
      <c r="L76" s="92">
        <v>0</v>
      </c>
      <c r="M76" s="93">
        <v>0</v>
      </c>
      <c r="N76" s="93"/>
      <c r="O76" t="str">
        <f>CONCATENATE(A76,B76)</f>
        <v>1000000144210</v>
      </c>
      <c r="P76" s="13">
        <f>+I76</f>
        <v>0</v>
      </c>
    </row>
    <row r="77" spans="1:16" x14ac:dyDescent="0.25">
      <c r="A77" s="90" t="s">
        <v>153</v>
      </c>
      <c r="B77" s="90" t="s">
        <v>279</v>
      </c>
      <c r="C77" s="90" t="s">
        <v>280</v>
      </c>
      <c r="D77" s="91" t="s">
        <v>281</v>
      </c>
      <c r="E77" s="90" t="s">
        <v>157</v>
      </c>
      <c r="F77" s="90"/>
      <c r="G77" s="92">
        <v>-3600000</v>
      </c>
      <c r="H77" s="92">
        <v>-3600000</v>
      </c>
      <c r="I77" s="93">
        <v>-5087926.6500000004</v>
      </c>
      <c r="J77" s="93"/>
      <c r="K77" s="93">
        <v>0</v>
      </c>
      <c r="L77" s="92">
        <v>1487926.65</v>
      </c>
      <c r="M77" s="93">
        <v>141.30000000000001</v>
      </c>
      <c r="N77" s="93"/>
      <c r="O77" t="str">
        <f>CONCATENATE(A77,B77)</f>
        <v>1000000144220</v>
      </c>
      <c r="P77" s="13">
        <f>+I77</f>
        <v>-5087926.6500000004</v>
      </c>
    </row>
    <row r="78" spans="1:16" x14ac:dyDescent="0.25">
      <c r="A78" s="90" t="s">
        <v>153</v>
      </c>
      <c r="B78" s="90" t="s">
        <v>282</v>
      </c>
      <c r="C78" s="90" t="s">
        <v>283</v>
      </c>
      <c r="D78" s="91" t="s">
        <v>284</v>
      </c>
      <c r="E78" s="90" t="s">
        <v>157</v>
      </c>
      <c r="F78" s="90"/>
      <c r="G78" s="92">
        <v>-13000</v>
      </c>
      <c r="H78" s="92">
        <v>-13000</v>
      </c>
      <c r="I78" s="93">
        <v>-9444.2000000000007</v>
      </c>
      <c r="J78" s="93"/>
      <c r="K78" s="93">
        <v>0</v>
      </c>
      <c r="L78" s="92">
        <v>-3555.8</v>
      </c>
      <c r="M78" s="93">
        <v>72.599999999999994</v>
      </c>
      <c r="N78" s="93"/>
      <c r="O78" t="str">
        <f>CONCATENATE(A78,B78)</f>
        <v>1000000144225</v>
      </c>
      <c r="P78" s="13">
        <f>+I78</f>
        <v>-9444.2000000000007</v>
      </c>
    </row>
    <row r="79" spans="1:16" x14ac:dyDescent="0.25">
      <c r="A79" s="90" t="s">
        <v>153</v>
      </c>
      <c r="B79" s="90" t="s">
        <v>923</v>
      </c>
      <c r="C79" s="90" t="s">
        <v>924</v>
      </c>
      <c r="D79" s="91" t="s">
        <v>925</v>
      </c>
      <c r="E79" s="90" t="s">
        <v>157</v>
      </c>
      <c r="F79" s="90"/>
      <c r="G79" s="92">
        <v>0</v>
      </c>
      <c r="H79" s="92">
        <v>0</v>
      </c>
      <c r="I79" s="93">
        <v>0</v>
      </c>
      <c r="J79" s="93"/>
      <c r="K79" s="93">
        <v>0</v>
      </c>
      <c r="L79" s="92">
        <v>0</v>
      </c>
      <c r="M79" s="93">
        <v>0</v>
      </c>
      <c r="N79" s="93"/>
      <c r="O79" t="str">
        <f>CONCATENATE(A79,B79)</f>
        <v>1000000144230</v>
      </c>
      <c r="P79" s="13">
        <f>+I79</f>
        <v>0</v>
      </c>
    </row>
    <row r="80" spans="1:16" x14ac:dyDescent="0.25">
      <c r="A80" s="90" t="s">
        <v>153</v>
      </c>
      <c r="B80" s="90" t="s">
        <v>285</v>
      </c>
      <c r="C80" s="90" t="s">
        <v>286</v>
      </c>
      <c r="D80" s="91" t="s">
        <v>287</v>
      </c>
      <c r="E80" s="90" t="s">
        <v>157</v>
      </c>
      <c r="F80" s="90"/>
      <c r="G80" s="92">
        <v>-81000</v>
      </c>
      <c r="H80" s="92">
        <v>-81000</v>
      </c>
      <c r="I80" s="93">
        <v>-111194.39</v>
      </c>
      <c r="J80" s="93"/>
      <c r="K80" s="93">
        <v>0</v>
      </c>
      <c r="L80" s="92">
        <v>30194.39</v>
      </c>
      <c r="M80" s="93">
        <v>137.30000000000001</v>
      </c>
      <c r="N80" s="93"/>
      <c r="O80" t="str">
        <f>CONCATENATE(A80,B80)</f>
        <v>1000000144260</v>
      </c>
      <c r="P80" s="13">
        <f>+I80</f>
        <v>-111194.39</v>
      </c>
    </row>
    <row r="81" spans="1:16" x14ac:dyDescent="0.25">
      <c r="A81" s="90" t="s">
        <v>153</v>
      </c>
      <c r="B81" s="90" t="s">
        <v>926</v>
      </c>
      <c r="C81" s="90" t="s">
        <v>927</v>
      </c>
      <c r="D81" s="91" t="s">
        <v>928</v>
      </c>
      <c r="E81" s="90" t="s">
        <v>157</v>
      </c>
      <c r="F81" s="90"/>
      <c r="G81" s="92">
        <v>0</v>
      </c>
      <c r="H81" s="92">
        <v>0</v>
      </c>
      <c r="I81" s="93">
        <v>0</v>
      </c>
      <c r="J81" s="93"/>
      <c r="K81" s="93">
        <v>0</v>
      </c>
      <c r="L81" s="92">
        <v>0</v>
      </c>
      <c r="M81" s="93">
        <v>0</v>
      </c>
      <c r="N81" s="93"/>
      <c r="O81" t="str">
        <f>CONCATENATE(A81,B81)</f>
        <v>1000000144270</v>
      </c>
      <c r="P81" s="13">
        <f>+I81</f>
        <v>0</v>
      </c>
    </row>
    <row r="82" spans="1:16" x14ac:dyDescent="0.25">
      <c r="A82" s="90" t="s">
        <v>153</v>
      </c>
      <c r="B82" s="90" t="s">
        <v>929</v>
      </c>
      <c r="C82" s="90" t="s">
        <v>930</v>
      </c>
      <c r="D82" s="91" t="s">
        <v>931</v>
      </c>
      <c r="E82" s="90" t="s">
        <v>157</v>
      </c>
      <c r="F82" s="90"/>
      <c r="G82" s="92">
        <v>0</v>
      </c>
      <c r="H82" s="92">
        <v>0</v>
      </c>
      <c r="I82" s="93">
        <v>-750</v>
      </c>
      <c r="J82" s="93"/>
      <c r="K82" s="93">
        <v>0</v>
      </c>
      <c r="L82" s="92">
        <v>750</v>
      </c>
      <c r="M82" s="93">
        <v>100</v>
      </c>
      <c r="N82" s="93"/>
      <c r="O82" t="str">
        <f>CONCATENATE(A82,B82)</f>
        <v>1000000144280</v>
      </c>
      <c r="P82" s="13">
        <f>+I82</f>
        <v>-750</v>
      </c>
    </row>
    <row r="83" spans="1:16" x14ac:dyDescent="0.25">
      <c r="A83" s="90" t="s">
        <v>153</v>
      </c>
      <c r="B83" s="90" t="s">
        <v>288</v>
      </c>
      <c r="C83" s="90" t="s">
        <v>289</v>
      </c>
      <c r="D83" s="91" t="s">
        <v>290</v>
      </c>
      <c r="E83" s="90" t="s">
        <v>157</v>
      </c>
      <c r="F83" s="90"/>
      <c r="G83" s="92">
        <v>-7000</v>
      </c>
      <c r="H83" s="92">
        <v>-7000</v>
      </c>
      <c r="I83" s="93">
        <v>-8455.27</v>
      </c>
      <c r="J83" s="93"/>
      <c r="K83" s="93">
        <v>0</v>
      </c>
      <c r="L83" s="92">
        <v>1455.27</v>
      </c>
      <c r="M83" s="93">
        <v>120.8</v>
      </c>
      <c r="N83" s="93"/>
      <c r="O83" t="str">
        <f>CONCATENATE(A83,B83)</f>
        <v>1000000144281</v>
      </c>
      <c r="P83" s="13">
        <f>+I83</f>
        <v>-8455.27</v>
      </c>
    </row>
    <row r="84" spans="1:16" x14ac:dyDescent="0.25">
      <c r="A84" s="90" t="s">
        <v>153</v>
      </c>
      <c r="B84" s="90" t="s">
        <v>932</v>
      </c>
      <c r="C84" s="90" t="s">
        <v>933</v>
      </c>
      <c r="D84" s="91" t="s">
        <v>934</v>
      </c>
      <c r="E84" s="90" t="s">
        <v>157</v>
      </c>
      <c r="F84" s="90"/>
      <c r="G84" s="92">
        <v>0</v>
      </c>
      <c r="H84" s="92">
        <v>0</v>
      </c>
      <c r="I84" s="93">
        <v>0</v>
      </c>
      <c r="J84" s="93"/>
      <c r="K84" s="93">
        <v>0</v>
      </c>
      <c r="L84" s="92">
        <v>0</v>
      </c>
      <c r="M84" s="93">
        <v>0</v>
      </c>
      <c r="N84" s="93"/>
      <c r="O84" t="str">
        <f>CONCATENATE(A84,B84)</f>
        <v>1000000144290</v>
      </c>
      <c r="P84" s="13">
        <f>+I84</f>
        <v>0</v>
      </c>
    </row>
    <row r="85" spans="1:16" x14ac:dyDescent="0.25">
      <c r="A85" s="90" t="s">
        <v>153</v>
      </c>
      <c r="B85" s="90" t="s">
        <v>291</v>
      </c>
      <c r="C85" s="90" t="s">
        <v>292</v>
      </c>
      <c r="D85" s="91" t="s">
        <v>293</v>
      </c>
      <c r="E85" s="90" t="s">
        <v>157</v>
      </c>
      <c r="F85" s="90"/>
      <c r="G85" s="92">
        <v>-3000</v>
      </c>
      <c r="H85" s="92">
        <v>-3000</v>
      </c>
      <c r="I85" s="93">
        <v>-3282.76</v>
      </c>
      <c r="J85" s="93"/>
      <c r="K85" s="93">
        <v>0</v>
      </c>
      <c r="L85" s="92">
        <v>282.76</v>
      </c>
      <c r="M85" s="93">
        <v>109.4</v>
      </c>
      <c r="N85" s="93"/>
      <c r="O85" t="str">
        <f>CONCATENATE(A85,B85)</f>
        <v>1000000144300</v>
      </c>
      <c r="P85" s="13">
        <f>+I85</f>
        <v>-3282.76</v>
      </c>
    </row>
    <row r="86" spans="1:16" x14ac:dyDescent="0.25">
      <c r="A86" s="90" t="s">
        <v>153</v>
      </c>
      <c r="B86" s="90" t="s">
        <v>935</v>
      </c>
      <c r="C86" s="90" t="s">
        <v>936</v>
      </c>
      <c r="D86" s="91" t="s">
        <v>937</v>
      </c>
      <c r="E86" s="90" t="s">
        <v>157</v>
      </c>
      <c r="F86" s="90"/>
      <c r="G86" s="92">
        <v>0</v>
      </c>
      <c r="H86" s="92">
        <v>0</v>
      </c>
      <c r="I86" s="93">
        <v>0</v>
      </c>
      <c r="J86" s="93"/>
      <c r="K86" s="93">
        <v>0</v>
      </c>
      <c r="L86" s="92">
        <v>0</v>
      </c>
      <c r="M86" s="93">
        <v>0</v>
      </c>
      <c r="N86" s="93"/>
      <c r="O86" t="str">
        <f>CONCATENATE(A86,B86)</f>
        <v>1000000144310</v>
      </c>
      <c r="P86" s="13">
        <f>+I86</f>
        <v>0</v>
      </c>
    </row>
    <row r="87" spans="1:16" x14ac:dyDescent="0.25">
      <c r="A87" s="90" t="s">
        <v>153</v>
      </c>
      <c r="B87" s="90" t="s">
        <v>938</v>
      </c>
      <c r="C87" s="90" t="s">
        <v>939</v>
      </c>
      <c r="D87" s="91" t="s">
        <v>940</v>
      </c>
      <c r="E87" s="90" t="s">
        <v>157</v>
      </c>
      <c r="F87" s="90"/>
      <c r="G87" s="92">
        <v>0</v>
      </c>
      <c r="H87" s="92">
        <v>0</v>
      </c>
      <c r="I87" s="93">
        <v>0</v>
      </c>
      <c r="J87" s="93"/>
      <c r="K87" s="93">
        <v>0</v>
      </c>
      <c r="L87" s="92">
        <v>0</v>
      </c>
      <c r="M87" s="93">
        <v>0</v>
      </c>
      <c r="N87" s="93"/>
      <c r="O87" t="str">
        <f>CONCATENATE(A87,B87)</f>
        <v>1000000144315</v>
      </c>
      <c r="P87" s="13">
        <f>+I87</f>
        <v>0</v>
      </c>
    </row>
    <row r="88" spans="1:16" x14ac:dyDescent="0.25">
      <c r="A88" s="90" t="s">
        <v>153</v>
      </c>
      <c r="B88" s="90" t="s">
        <v>941</v>
      </c>
      <c r="C88" s="90" t="s">
        <v>942</v>
      </c>
      <c r="D88" s="91" t="s">
        <v>943</v>
      </c>
      <c r="E88" s="90" t="s">
        <v>157</v>
      </c>
      <c r="F88" s="90"/>
      <c r="G88" s="92">
        <v>0</v>
      </c>
      <c r="H88" s="92">
        <v>0</v>
      </c>
      <c r="I88" s="93">
        <v>0</v>
      </c>
      <c r="J88" s="93"/>
      <c r="K88" s="93">
        <v>0</v>
      </c>
      <c r="L88" s="92">
        <v>0</v>
      </c>
      <c r="M88" s="93">
        <v>0</v>
      </c>
      <c r="N88" s="93"/>
      <c r="O88" t="str">
        <f>CONCATENATE(A88,B88)</f>
        <v>1000000144320</v>
      </c>
      <c r="P88" s="13">
        <f>+I88</f>
        <v>0</v>
      </c>
    </row>
    <row r="89" spans="1:16" x14ac:dyDescent="0.25">
      <c r="A89" s="90" t="s">
        <v>153</v>
      </c>
      <c r="B89" s="90" t="s">
        <v>488</v>
      </c>
      <c r="C89" s="90" t="s">
        <v>489</v>
      </c>
      <c r="D89" s="91" t="s">
        <v>490</v>
      </c>
      <c r="E89" s="90" t="s">
        <v>157</v>
      </c>
      <c r="F89" s="90"/>
      <c r="G89" s="92">
        <v>0</v>
      </c>
      <c r="H89" s="92">
        <v>0</v>
      </c>
      <c r="I89" s="93">
        <v>-1250</v>
      </c>
      <c r="J89" s="93"/>
      <c r="K89" s="93">
        <v>0</v>
      </c>
      <c r="L89" s="92">
        <v>1250</v>
      </c>
      <c r="M89" s="93">
        <v>100</v>
      </c>
      <c r="N89" s="93"/>
      <c r="O89" t="str">
        <f>CONCATENATE(A89,B89)</f>
        <v>1000000144330</v>
      </c>
      <c r="P89" s="13">
        <f>+I89</f>
        <v>-1250</v>
      </c>
    </row>
    <row r="90" spans="1:16" x14ac:dyDescent="0.25">
      <c r="A90" s="90" t="s">
        <v>153</v>
      </c>
      <c r="B90" s="90" t="s">
        <v>944</v>
      </c>
      <c r="C90" s="90" t="s">
        <v>945</v>
      </c>
      <c r="D90" s="91" t="s">
        <v>946</v>
      </c>
      <c r="E90" s="90" t="s">
        <v>157</v>
      </c>
      <c r="F90" s="90"/>
      <c r="G90" s="92">
        <v>0</v>
      </c>
      <c r="H90" s="92">
        <v>0</v>
      </c>
      <c r="I90" s="93">
        <v>0</v>
      </c>
      <c r="J90" s="93"/>
      <c r="K90" s="93">
        <v>0</v>
      </c>
      <c r="L90" s="92">
        <v>0</v>
      </c>
      <c r="M90" s="93">
        <v>0</v>
      </c>
      <c r="N90" s="93"/>
      <c r="O90" t="str">
        <f>CONCATENATE(A90,B90)</f>
        <v>1000000144331</v>
      </c>
      <c r="P90" s="13">
        <f>+I90</f>
        <v>0</v>
      </c>
    </row>
    <row r="91" spans="1:16" x14ac:dyDescent="0.25">
      <c r="A91" s="90" t="s">
        <v>153</v>
      </c>
      <c r="B91" s="90" t="s">
        <v>947</v>
      </c>
      <c r="C91" s="90" t="s">
        <v>948</v>
      </c>
      <c r="D91" s="91" t="s">
        <v>949</v>
      </c>
      <c r="E91" s="90" t="s">
        <v>157</v>
      </c>
      <c r="F91" s="90"/>
      <c r="G91" s="92">
        <v>0</v>
      </c>
      <c r="H91" s="92">
        <v>0</v>
      </c>
      <c r="I91" s="93">
        <v>0</v>
      </c>
      <c r="J91" s="93"/>
      <c r="K91" s="93">
        <v>0</v>
      </c>
      <c r="L91" s="92">
        <v>0</v>
      </c>
      <c r="M91" s="93">
        <v>0</v>
      </c>
      <c r="N91" s="93"/>
      <c r="O91" t="str">
        <f>CONCATENATE(A91,B91)</f>
        <v>1000000144340</v>
      </c>
      <c r="P91" s="13">
        <f>+I91</f>
        <v>0</v>
      </c>
    </row>
    <row r="92" spans="1:16" x14ac:dyDescent="0.25">
      <c r="A92" s="90" t="s">
        <v>153</v>
      </c>
      <c r="B92" s="90" t="s">
        <v>950</v>
      </c>
      <c r="C92" s="90" t="s">
        <v>951</v>
      </c>
      <c r="D92" s="91" t="s">
        <v>952</v>
      </c>
      <c r="E92" s="90" t="s">
        <v>157</v>
      </c>
      <c r="F92" s="90"/>
      <c r="G92" s="92">
        <v>0</v>
      </c>
      <c r="H92" s="92">
        <v>0</v>
      </c>
      <c r="I92" s="93">
        <v>0</v>
      </c>
      <c r="J92" s="93"/>
      <c r="K92" s="93">
        <v>0</v>
      </c>
      <c r="L92" s="92">
        <v>0</v>
      </c>
      <c r="M92" s="93">
        <v>0</v>
      </c>
      <c r="N92" s="93"/>
      <c r="O92" t="str">
        <f>CONCATENATE(A92,B92)</f>
        <v>1000000144350</v>
      </c>
      <c r="P92" s="13">
        <f>+I92</f>
        <v>0</v>
      </c>
    </row>
    <row r="93" spans="1:16" x14ac:dyDescent="0.25">
      <c r="A93" s="90" t="s">
        <v>153</v>
      </c>
      <c r="B93" s="90" t="s">
        <v>294</v>
      </c>
      <c r="C93" s="90" t="s">
        <v>295</v>
      </c>
      <c r="D93" s="91" t="s">
        <v>296</v>
      </c>
      <c r="E93" s="90" t="s">
        <v>157</v>
      </c>
      <c r="F93" s="90"/>
      <c r="G93" s="92">
        <v>-800</v>
      </c>
      <c r="H93" s="92">
        <v>-800</v>
      </c>
      <c r="I93" s="93">
        <v>0</v>
      </c>
      <c r="J93" s="93"/>
      <c r="K93" s="93">
        <v>0</v>
      </c>
      <c r="L93" s="92">
        <v>-800</v>
      </c>
      <c r="M93" s="93">
        <v>0</v>
      </c>
      <c r="N93" s="93"/>
      <c r="O93" t="str">
        <f>CONCATENATE(A93,B93)</f>
        <v>1000000144360</v>
      </c>
      <c r="P93" s="13">
        <f>+I93</f>
        <v>0</v>
      </c>
    </row>
    <row r="94" spans="1:16" x14ac:dyDescent="0.25">
      <c r="A94" s="90" t="s">
        <v>153</v>
      </c>
      <c r="B94" s="90" t="s">
        <v>297</v>
      </c>
      <c r="C94" s="90" t="s">
        <v>298</v>
      </c>
      <c r="D94" s="91" t="s">
        <v>299</v>
      </c>
      <c r="E94" s="90" t="s">
        <v>157</v>
      </c>
      <c r="F94" s="90"/>
      <c r="G94" s="92">
        <v>-2500</v>
      </c>
      <c r="H94" s="92">
        <v>-2500</v>
      </c>
      <c r="I94" s="93">
        <v>0</v>
      </c>
      <c r="J94" s="93"/>
      <c r="K94" s="93">
        <v>0</v>
      </c>
      <c r="L94" s="92">
        <v>-2500</v>
      </c>
      <c r="M94" s="93">
        <v>0</v>
      </c>
      <c r="N94" s="93"/>
      <c r="O94" t="str">
        <f>CONCATENATE(A94,B94)</f>
        <v>1000000144370</v>
      </c>
      <c r="P94" s="13">
        <f>+I94</f>
        <v>0</v>
      </c>
    </row>
    <row r="95" spans="1:16" x14ac:dyDescent="0.25">
      <c r="A95" s="90" t="s">
        <v>153</v>
      </c>
      <c r="B95" s="90" t="s">
        <v>300</v>
      </c>
      <c r="C95" s="90" t="s">
        <v>301</v>
      </c>
      <c r="D95" s="91" t="s">
        <v>302</v>
      </c>
      <c r="E95" s="90" t="s">
        <v>157</v>
      </c>
      <c r="F95" s="90"/>
      <c r="G95" s="92">
        <v>-4200</v>
      </c>
      <c r="H95" s="92">
        <v>-4200</v>
      </c>
      <c r="I95" s="93">
        <v>-13169.16</v>
      </c>
      <c r="J95" s="93"/>
      <c r="K95" s="93">
        <v>0</v>
      </c>
      <c r="L95" s="92">
        <v>8969.16</v>
      </c>
      <c r="M95" s="93">
        <v>313.60000000000002</v>
      </c>
      <c r="N95" s="93"/>
      <c r="O95" t="str">
        <f>CONCATENATE(A95,B95)</f>
        <v>1000000144375</v>
      </c>
      <c r="P95" s="13">
        <f>+I95</f>
        <v>-13169.16</v>
      </c>
    </row>
    <row r="96" spans="1:16" x14ac:dyDescent="0.25">
      <c r="A96" s="90" t="s">
        <v>153</v>
      </c>
      <c r="B96" s="90" t="s">
        <v>953</v>
      </c>
      <c r="C96" s="90" t="s">
        <v>954</v>
      </c>
      <c r="D96" s="91" t="s">
        <v>955</v>
      </c>
      <c r="E96" s="90" t="s">
        <v>157</v>
      </c>
      <c r="F96" s="90"/>
      <c r="G96" s="92">
        <v>0</v>
      </c>
      <c r="H96" s="92">
        <v>0</v>
      </c>
      <c r="I96" s="93">
        <v>0</v>
      </c>
      <c r="J96" s="93"/>
      <c r="K96" s="93">
        <v>0</v>
      </c>
      <c r="L96" s="92">
        <v>0</v>
      </c>
      <c r="M96" s="93">
        <v>0</v>
      </c>
      <c r="N96" s="93"/>
      <c r="O96" t="str">
        <f>CONCATENATE(A96,B96)</f>
        <v>1000000144700</v>
      </c>
      <c r="P96" s="13">
        <f>+I96</f>
        <v>0</v>
      </c>
    </row>
    <row r="97" spans="1:16" x14ac:dyDescent="0.25">
      <c r="A97" s="90" t="s">
        <v>153</v>
      </c>
      <c r="B97" s="90" t="s">
        <v>956</v>
      </c>
      <c r="C97" s="90" t="s">
        <v>957</v>
      </c>
      <c r="D97" s="91" t="s">
        <v>958</v>
      </c>
      <c r="E97" s="90" t="s">
        <v>157</v>
      </c>
      <c r="F97" s="90"/>
      <c r="G97" s="92">
        <v>0</v>
      </c>
      <c r="H97" s="92">
        <v>0</v>
      </c>
      <c r="I97" s="93">
        <v>0</v>
      </c>
      <c r="J97" s="93"/>
      <c r="K97" s="93">
        <v>0</v>
      </c>
      <c r="L97" s="92">
        <v>0</v>
      </c>
      <c r="M97" s="93">
        <v>0</v>
      </c>
      <c r="N97" s="93"/>
      <c r="O97" t="str">
        <f>CONCATENATE(A97,B97)</f>
        <v>1000000144710</v>
      </c>
      <c r="P97" s="13">
        <f>+I97</f>
        <v>0</v>
      </c>
    </row>
    <row r="98" spans="1:16" x14ac:dyDescent="0.25">
      <c r="A98" s="90" t="s">
        <v>153</v>
      </c>
      <c r="B98" s="90" t="s">
        <v>303</v>
      </c>
      <c r="C98" s="90" t="s">
        <v>304</v>
      </c>
      <c r="D98" s="91" t="s">
        <v>305</v>
      </c>
      <c r="E98" s="90" t="s">
        <v>157</v>
      </c>
      <c r="F98" s="90"/>
      <c r="G98" s="92">
        <v>-5000</v>
      </c>
      <c r="H98" s="92">
        <v>-5000</v>
      </c>
      <c r="I98" s="93">
        <v>-504.56</v>
      </c>
      <c r="J98" s="93"/>
      <c r="K98" s="93">
        <v>0</v>
      </c>
      <c r="L98" s="92">
        <v>-4495.4399999999996</v>
      </c>
      <c r="M98" s="93">
        <v>10.1</v>
      </c>
      <c r="N98" s="93"/>
      <c r="O98" t="str">
        <f>CONCATENATE(A98,B98)</f>
        <v>1000000144720</v>
      </c>
      <c r="P98" s="13">
        <f>+I98</f>
        <v>-504.56</v>
      </c>
    </row>
    <row r="99" spans="1:16" x14ac:dyDescent="0.25">
      <c r="A99" s="90" t="s">
        <v>153</v>
      </c>
      <c r="B99" s="90" t="s">
        <v>959</v>
      </c>
      <c r="C99" s="90" t="s">
        <v>960</v>
      </c>
      <c r="D99" s="91" t="s">
        <v>961</v>
      </c>
      <c r="E99" s="90" t="s">
        <v>157</v>
      </c>
      <c r="F99" s="90"/>
      <c r="G99" s="92">
        <v>0</v>
      </c>
      <c r="H99" s="92">
        <v>0</v>
      </c>
      <c r="I99" s="93">
        <v>0</v>
      </c>
      <c r="J99" s="93"/>
      <c r="K99" s="93">
        <v>0</v>
      </c>
      <c r="L99" s="92">
        <v>0</v>
      </c>
      <c r="M99" s="93">
        <v>0</v>
      </c>
      <c r="N99" s="93"/>
      <c r="O99" t="str">
        <f>CONCATENATE(A99,B99)</f>
        <v>1000000144730</v>
      </c>
      <c r="P99" s="13">
        <f>+I99</f>
        <v>0</v>
      </c>
    </row>
    <row r="100" spans="1:16" x14ac:dyDescent="0.25">
      <c r="A100" s="90" t="s">
        <v>153</v>
      </c>
      <c r="B100" s="90" t="s">
        <v>461</v>
      </c>
      <c r="C100" s="90" t="s">
        <v>462</v>
      </c>
      <c r="D100" s="91" t="s">
        <v>463</v>
      </c>
      <c r="E100" s="90" t="s">
        <v>157</v>
      </c>
      <c r="F100" s="90"/>
      <c r="G100" s="92">
        <v>-3300</v>
      </c>
      <c r="H100" s="92">
        <v>-3300</v>
      </c>
      <c r="I100" s="93">
        <v>-565</v>
      </c>
      <c r="J100" s="93"/>
      <c r="K100" s="93">
        <v>0</v>
      </c>
      <c r="L100" s="92">
        <v>-2735</v>
      </c>
      <c r="M100" s="93">
        <v>17.100000000000001</v>
      </c>
      <c r="N100" s="93"/>
      <c r="O100" t="str">
        <f>CONCATENATE(A100,B100)</f>
        <v>1000000144735</v>
      </c>
      <c r="P100" s="13">
        <f>+I100</f>
        <v>-565</v>
      </c>
    </row>
    <row r="101" spans="1:16" x14ac:dyDescent="0.25">
      <c r="A101" s="90" t="s">
        <v>153</v>
      </c>
      <c r="B101" s="90" t="s">
        <v>962</v>
      </c>
      <c r="C101" s="90" t="s">
        <v>963</v>
      </c>
      <c r="D101" s="91" t="s">
        <v>964</v>
      </c>
      <c r="E101" s="90" t="s">
        <v>157</v>
      </c>
      <c r="F101" s="90"/>
      <c r="G101" s="92">
        <v>-34800</v>
      </c>
      <c r="H101" s="92">
        <v>-34800</v>
      </c>
      <c r="I101" s="93">
        <v>0</v>
      </c>
      <c r="J101" s="93"/>
      <c r="K101" s="93">
        <v>0</v>
      </c>
      <c r="L101" s="92">
        <v>-34800</v>
      </c>
      <c r="M101" s="93">
        <v>0</v>
      </c>
      <c r="N101" s="93"/>
      <c r="O101" t="str">
        <f>CONCATENATE(A101,B101)</f>
        <v>1000000144736</v>
      </c>
      <c r="P101" s="13">
        <f>+I101</f>
        <v>0</v>
      </c>
    </row>
    <row r="102" spans="1:16" x14ac:dyDescent="0.25">
      <c r="A102" s="90" t="s">
        <v>153</v>
      </c>
      <c r="B102" s="90" t="s">
        <v>965</v>
      </c>
      <c r="C102" s="90" t="s">
        <v>966</v>
      </c>
      <c r="D102" s="91" t="s">
        <v>967</v>
      </c>
      <c r="E102" s="90" t="s">
        <v>157</v>
      </c>
      <c r="F102" s="90"/>
      <c r="G102" s="92">
        <v>0</v>
      </c>
      <c r="H102" s="92">
        <v>0</v>
      </c>
      <c r="I102" s="93">
        <v>0</v>
      </c>
      <c r="J102" s="93"/>
      <c r="K102" s="93">
        <v>0</v>
      </c>
      <c r="L102" s="92">
        <v>0</v>
      </c>
      <c r="M102" s="93">
        <v>0</v>
      </c>
      <c r="N102" s="93"/>
      <c r="O102" t="str">
        <f>CONCATENATE(A102,B102)</f>
        <v>1000000144740</v>
      </c>
      <c r="P102" s="13">
        <f>+I102</f>
        <v>0</v>
      </c>
    </row>
    <row r="103" spans="1:16" x14ac:dyDescent="0.25">
      <c r="A103" s="90" t="s">
        <v>153</v>
      </c>
      <c r="B103" s="90" t="s">
        <v>968</v>
      </c>
      <c r="C103" s="90" t="s">
        <v>969</v>
      </c>
      <c r="D103" s="91" t="s">
        <v>970</v>
      </c>
      <c r="E103" s="90" t="s">
        <v>157</v>
      </c>
      <c r="F103" s="90"/>
      <c r="G103" s="92">
        <v>0</v>
      </c>
      <c r="H103" s="92">
        <v>0</v>
      </c>
      <c r="I103" s="93">
        <v>0</v>
      </c>
      <c r="J103" s="93"/>
      <c r="K103" s="93">
        <v>0</v>
      </c>
      <c r="L103" s="92">
        <v>0</v>
      </c>
      <c r="M103" s="93">
        <v>0</v>
      </c>
      <c r="N103" s="93"/>
      <c r="O103" t="str">
        <f>CONCATENATE(A103,B103)</f>
        <v>1000000144750</v>
      </c>
      <c r="P103" s="13">
        <f>+I103</f>
        <v>0</v>
      </c>
    </row>
    <row r="104" spans="1:16" x14ac:dyDescent="0.25">
      <c r="A104" s="90" t="s">
        <v>153</v>
      </c>
      <c r="B104" s="90" t="s">
        <v>306</v>
      </c>
      <c r="C104" s="90" t="s">
        <v>307</v>
      </c>
      <c r="D104" s="91" t="s">
        <v>308</v>
      </c>
      <c r="E104" s="90" t="s">
        <v>157</v>
      </c>
      <c r="F104" s="90"/>
      <c r="G104" s="92">
        <v>-13000</v>
      </c>
      <c r="H104" s="92">
        <v>-13000</v>
      </c>
      <c r="I104" s="93">
        <v>-13944</v>
      </c>
      <c r="J104" s="93"/>
      <c r="K104" s="93">
        <v>0</v>
      </c>
      <c r="L104" s="92">
        <v>944</v>
      </c>
      <c r="M104" s="93">
        <v>107.3</v>
      </c>
      <c r="N104" s="93"/>
      <c r="O104" t="str">
        <f>CONCATENATE(A104,B104)</f>
        <v>1000000144760</v>
      </c>
      <c r="P104" s="3">
        <f>+I104</f>
        <v>-13944</v>
      </c>
    </row>
    <row r="105" spans="1:16" x14ac:dyDescent="0.25">
      <c r="A105" s="90" t="s">
        <v>153</v>
      </c>
      <c r="B105" s="90" t="s">
        <v>971</v>
      </c>
      <c r="C105" s="90" t="s">
        <v>972</v>
      </c>
      <c r="D105" s="91" t="s">
        <v>973</v>
      </c>
      <c r="E105" s="90" t="s">
        <v>157</v>
      </c>
      <c r="F105" s="90"/>
      <c r="G105" s="92">
        <v>-2750</v>
      </c>
      <c r="H105" s="92">
        <v>-2750</v>
      </c>
      <c r="I105" s="93">
        <v>0</v>
      </c>
      <c r="J105" s="93"/>
      <c r="K105" s="93">
        <v>0</v>
      </c>
      <c r="L105" s="92">
        <v>-2750</v>
      </c>
      <c r="M105" s="93">
        <v>0</v>
      </c>
      <c r="N105" s="93"/>
      <c r="O105" t="str">
        <f>CONCATENATE(A105,B105)</f>
        <v>1000000144780</v>
      </c>
      <c r="P105" s="3">
        <f>+I105</f>
        <v>0</v>
      </c>
    </row>
    <row r="106" spans="1:16" x14ac:dyDescent="0.25">
      <c r="A106" s="90" t="s">
        <v>153</v>
      </c>
      <c r="B106" s="90" t="s">
        <v>491</v>
      </c>
      <c r="C106" s="90" t="s">
        <v>492</v>
      </c>
      <c r="D106" s="91" t="s">
        <v>493</v>
      </c>
      <c r="E106" s="90" t="s">
        <v>157</v>
      </c>
      <c r="F106" s="90"/>
      <c r="G106" s="92">
        <v>0</v>
      </c>
      <c r="H106" s="92">
        <v>0</v>
      </c>
      <c r="I106" s="93">
        <v>-1673.11</v>
      </c>
      <c r="J106" s="93"/>
      <c r="K106" s="93">
        <v>0</v>
      </c>
      <c r="L106" s="92">
        <v>1673.11</v>
      </c>
      <c r="M106" s="93">
        <v>100</v>
      </c>
      <c r="N106" s="93"/>
      <c r="O106" t="str">
        <f>CONCATENATE(A106,B106)</f>
        <v>1000000144781</v>
      </c>
      <c r="P106" s="3">
        <f>+I106</f>
        <v>-1673.11</v>
      </c>
    </row>
    <row r="107" spans="1:16" x14ac:dyDescent="0.25">
      <c r="A107" s="90" t="s">
        <v>153</v>
      </c>
      <c r="B107" s="90" t="s">
        <v>309</v>
      </c>
      <c r="C107" s="90" t="s">
        <v>310</v>
      </c>
      <c r="D107" s="91" t="s">
        <v>311</v>
      </c>
      <c r="E107" s="90" t="s">
        <v>157</v>
      </c>
      <c r="F107" s="90"/>
      <c r="G107" s="92">
        <v>-8300</v>
      </c>
      <c r="H107" s="92">
        <v>-8300</v>
      </c>
      <c r="I107" s="93">
        <v>-624.41999999999996</v>
      </c>
      <c r="J107" s="93"/>
      <c r="K107" s="93">
        <v>0</v>
      </c>
      <c r="L107" s="92">
        <v>-7675.58</v>
      </c>
      <c r="M107" s="93">
        <v>7.5</v>
      </c>
      <c r="N107" s="93"/>
      <c r="O107" t="str">
        <f>CONCATENATE(A107,B107)</f>
        <v>1000000144782</v>
      </c>
      <c r="P107" s="3">
        <f>+I107</f>
        <v>-624.41999999999996</v>
      </c>
    </row>
    <row r="108" spans="1:16" x14ac:dyDescent="0.25">
      <c r="A108" s="90" t="s">
        <v>153</v>
      </c>
      <c r="B108" s="90" t="s">
        <v>313</v>
      </c>
      <c r="C108" s="90" t="s">
        <v>314</v>
      </c>
      <c r="D108" s="91" t="s">
        <v>315</v>
      </c>
      <c r="E108" s="90" t="s">
        <v>157</v>
      </c>
      <c r="F108" s="90"/>
      <c r="G108" s="92">
        <v>-9500</v>
      </c>
      <c r="H108" s="92">
        <v>-9500</v>
      </c>
      <c r="I108" s="93">
        <v>-15107.14</v>
      </c>
      <c r="J108" s="93"/>
      <c r="K108" s="93">
        <v>0</v>
      </c>
      <c r="L108" s="92">
        <v>5607.14</v>
      </c>
      <c r="M108" s="93">
        <v>159</v>
      </c>
      <c r="N108" s="93"/>
      <c r="O108" t="str">
        <f>CONCATENATE(A108,B108)</f>
        <v>1000000145010</v>
      </c>
      <c r="P108" s="3">
        <f>+I108</f>
        <v>-15107.14</v>
      </c>
    </row>
    <row r="109" spans="1:16" x14ac:dyDescent="0.25">
      <c r="A109" s="90" t="s">
        <v>153</v>
      </c>
      <c r="B109" s="90" t="s">
        <v>316</v>
      </c>
      <c r="C109" s="90" t="s">
        <v>317</v>
      </c>
      <c r="D109" s="91" t="s">
        <v>318</v>
      </c>
      <c r="E109" s="90" t="s">
        <v>157</v>
      </c>
      <c r="F109" s="90"/>
      <c r="G109" s="92">
        <v>-2418</v>
      </c>
      <c r="H109" s="92">
        <v>-2418</v>
      </c>
      <c r="I109" s="93">
        <v>-2061.0100000000002</v>
      </c>
      <c r="J109" s="93"/>
      <c r="K109" s="93">
        <v>0</v>
      </c>
      <c r="L109" s="92">
        <v>-356.99</v>
      </c>
      <c r="M109" s="93">
        <v>85.2</v>
      </c>
      <c r="N109" s="93"/>
      <c r="O109" t="str">
        <f>CONCATENATE(A109,B109)</f>
        <v>1000000145020</v>
      </c>
      <c r="P109" s="3">
        <f>+I109</f>
        <v>-2061.0100000000002</v>
      </c>
    </row>
    <row r="110" spans="1:16" x14ac:dyDescent="0.25">
      <c r="A110" s="90" t="s">
        <v>153</v>
      </c>
      <c r="B110" s="90" t="s">
        <v>974</v>
      </c>
      <c r="C110" s="90" t="s">
        <v>975</v>
      </c>
      <c r="D110" s="91" t="s">
        <v>976</v>
      </c>
      <c r="E110" s="90" t="s">
        <v>157</v>
      </c>
      <c r="F110" s="90"/>
      <c r="G110" s="92">
        <v>-3000</v>
      </c>
      <c r="H110" s="92">
        <v>-3000</v>
      </c>
      <c r="I110" s="93">
        <v>0</v>
      </c>
      <c r="J110" s="93"/>
      <c r="K110" s="93">
        <v>0</v>
      </c>
      <c r="L110" s="92">
        <v>-3000</v>
      </c>
      <c r="M110" s="93">
        <v>0</v>
      </c>
      <c r="N110" s="93"/>
      <c r="O110" t="str">
        <f>CONCATENATE(A110,B110)</f>
        <v>1000000145030</v>
      </c>
      <c r="P110" s="3">
        <f>+I110</f>
        <v>0</v>
      </c>
    </row>
    <row r="111" spans="1:16" x14ac:dyDescent="0.25">
      <c r="A111" s="90" t="s">
        <v>153</v>
      </c>
      <c r="B111" s="90" t="s">
        <v>319</v>
      </c>
      <c r="C111" s="90" t="s">
        <v>320</v>
      </c>
      <c r="D111" s="91" t="s">
        <v>321</v>
      </c>
      <c r="E111" s="90" t="s">
        <v>157</v>
      </c>
      <c r="F111" s="90"/>
      <c r="G111" s="92">
        <v>-7600</v>
      </c>
      <c r="H111" s="92">
        <v>-7600</v>
      </c>
      <c r="I111" s="93">
        <v>-4657.32</v>
      </c>
      <c r="J111" s="93"/>
      <c r="K111" s="93">
        <v>0</v>
      </c>
      <c r="L111" s="92">
        <v>-2942.68</v>
      </c>
      <c r="M111" s="93">
        <v>61.3</v>
      </c>
      <c r="N111" s="93"/>
      <c r="O111" t="str">
        <f>CONCATENATE(A111,B111)</f>
        <v>1000000145100</v>
      </c>
      <c r="P111" s="3">
        <f>+I111</f>
        <v>-4657.32</v>
      </c>
    </row>
    <row r="112" spans="1:16" x14ac:dyDescent="0.25">
      <c r="A112" s="90" t="s">
        <v>153</v>
      </c>
      <c r="B112" s="90" t="s">
        <v>322</v>
      </c>
      <c r="C112" s="90" t="s">
        <v>323</v>
      </c>
      <c r="D112" s="91" t="s">
        <v>324</v>
      </c>
      <c r="E112" s="90" t="s">
        <v>157</v>
      </c>
      <c r="F112" s="90"/>
      <c r="G112" s="92">
        <v>-274000</v>
      </c>
      <c r="H112" s="92">
        <v>-274000</v>
      </c>
      <c r="I112" s="93">
        <v>-215160.82</v>
      </c>
      <c r="J112" s="93"/>
      <c r="K112" s="93">
        <v>0</v>
      </c>
      <c r="L112" s="92">
        <v>-58839.18</v>
      </c>
      <c r="M112" s="93">
        <v>78.5</v>
      </c>
      <c r="N112" s="93"/>
      <c r="O112" t="str">
        <f>CONCATENATE(A112,B112)</f>
        <v>100000014510A</v>
      </c>
      <c r="P112" s="3">
        <f>+I112</f>
        <v>-215160.82</v>
      </c>
    </row>
    <row r="113" spans="1:16" x14ac:dyDescent="0.25">
      <c r="A113" s="90" t="s">
        <v>153</v>
      </c>
      <c r="B113" s="90" t="s">
        <v>325</v>
      </c>
      <c r="C113" s="90" t="s">
        <v>326</v>
      </c>
      <c r="D113" s="91" t="s">
        <v>327</v>
      </c>
      <c r="E113" s="90" t="s">
        <v>157</v>
      </c>
      <c r="F113" s="90"/>
      <c r="G113" s="92">
        <v>-265000</v>
      </c>
      <c r="H113" s="92">
        <v>-265000</v>
      </c>
      <c r="I113" s="93">
        <v>-315651.3</v>
      </c>
      <c r="J113" s="93"/>
      <c r="K113" s="93">
        <v>0</v>
      </c>
      <c r="L113" s="92">
        <v>50651.3</v>
      </c>
      <c r="M113" s="93">
        <v>119.1</v>
      </c>
      <c r="N113" s="93"/>
      <c r="O113" t="str">
        <f>CONCATENATE(A113,B113)</f>
        <v>100000014510B</v>
      </c>
      <c r="P113" s="3">
        <f>+I113</f>
        <v>-315651.3</v>
      </c>
    </row>
    <row r="114" spans="1:16" x14ac:dyDescent="0.25">
      <c r="A114" s="90" t="s">
        <v>153</v>
      </c>
      <c r="B114" s="90" t="s">
        <v>977</v>
      </c>
      <c r="C114" s="90" t="s">
        <v>978</v>
      </c>
      <c r="D114" s="91" t="s">
        <v>979</v>
      </c>
      <c r="E114" s="90" t="s">
        <v>157</v>
      </c>
      <c r="F114" s="90"/>
      <c r="G114" s="92">
        <v>-15000</v>
      </c>
      <c r="H114" s="92">
        <v>-15000</v>
      </c>
      <c r="I114" s="93">
        <v>0</v>
      </c>
      <c r="J114" s="93"/>
      <c r="K114" s="93">
        <v>0</v>
      </c>
      <c r="L114" s="92">
        <v>-15000</v>
      </c>
      <c r="M114" s="93">
        <v>0</v>
      </c>
      <c r="N114" s="93"/>
      <c r="O114" t="str">
        <f>CONCATENATE(A114,B114)</f>
        <v>1000000145150</v>
      </c>
      <c r="P114" s="3">
        <f>+I114</f>
        <v>0</v>
      </c>
    </row>
    <row r="115" spans="1:16" x14ac:dyDescent="0.25">
      <c r="A115" s="90" t="s">
        <v>153</v>
      </c>
      <c r="B115" s="90" t="s">
        <v>980</v>
      </c>
      <c r="C115" s="90" t="s">
        <v>981</v>
      </c>
      <c r="D115" s="91" t="s">
        <v>982</v>
      </c>
      <c r="E115" s="90" t="s">
        <v>157</v>
      </c>
      <c r="F115" s="90"/>
      <c r="G115" s="92">
        <v>0</v>
      </c>
      <c r="H115" s="92">
        <v>0</v>
      </c>
      <c r="I115" s="93">
        <v>0</v>
      </c>
      <c r="J115" s="93"/>
      <c r="K115" s="93">
        <v>0</v>
      </c>
      <c r="L115" s="92">
        <v>0</v>
      </c>
      <c r="M115" s="93">
        <v>0</v>
      </c>
      <c r="N115" s="93"/>
      <c r="O115" t="str">
        <f>CONCATENATE(A115,B115)</f>
        <v>1000000145160</v>
      </c>
      <c r="P115" s="3">
        <f>+I115</f>
        <v>0</v>
      </c>
    </row>
    <row r="116" spans="1:16" x14ac:dyDescent="0.25">
      <c r="A116" s="90" t="s">
        <v>153</v>
      </c>
      <c r="B116" s="90" t="s">
        <v>983</v>
      </c>
      <c r="C116" s="90" t="s">
        <v>984</v>
      </c>
      <c r="D116" s="91" t="s">
        <v>985</v>
      </c>
      <c r="E116" s="90" t="s">
        <v>157</v>
      </c>
      <c r="F116" s="90"/>
      <c r="G116" s="92">
        <v>0</v>
      </c>
      <c r="H116" s="92">
        <v>0</v>
      </c>
      <c r="I116" s="93">
        <v>0</v>
      </c>
      <c r="J116" s="93"/>
      <c r="K116" s="93">
        <v>0</v>
      </c>
      <c r="L116" s="92">
        <v>0</v>
      </c>
      <c r="M116" s="93">
        <v>0</v>
      </c>
      <c r="N116" s="93"/>
      <c r="O116" t="str">
        <f>CONCATENATE(A116,B116)</f>
        <v>1000000145170</v>
      </c>
      <c r="P116" s="3">
        <f>+I116</f>
        <v>0</v>
      </c>
    </row>
    <row r="117" spans="1:16" x14ac:dyDescent="0.25">
      <c r="A117" s="90" t="s">
        <v>153</v>
      </c>
      <c r="B117" s="90" t="s">
        <v>328</v>
      </c>
      <c r="C117" s="90" t="s">
        <v>329</v>
      </c>
      <c r="D117" s="91" t="s">
        <v>330</v>
      </c>
      <c r="E117" s="90" t="s">
        <v>157</v>
      </c>
      <c r="F117" s="90"/>
      <c r="G117" s="92">
        <v>-42500</v>
      </c>
      <c r="H117" s="92">
        <v>-42500</v>
      </c>
      <c r="I117" s="93">
        <v>-47620.99</v>
      </c>
      <c r="J117" s="93"/>
      <c r="K117" s="93">
        <v>0</v>
      </c>
      <c r="L117" s="92">
        <v>5120.99</v>
      </c>
      <c r="M117" s="93">
        <v>112</v>
      </c>
      <c r="N117" s="93"/>
      <c r="O117" t="str">
        <f>CONCATENATE(A117,B117)</f>
        <v>1000000145200</v>
      </c>
      <c r="P117" s="3">
        <f>+I117</f>
        <v>-47620.99</v>
      </c>
    </row>
    <row r="118" spans="1:16" x14ac:dyDescent="0.25">
      <c r="A118" s="90" t="s">
        <v>153</v>
      </c>
      <c r="B118" s="90" t="s">
        <v>986</v>
      </c>
      <c r="C118" s="90" t="s">
        <v>987</v>
      </c>
      <c r="D118" s="91" t="s">
        <v>988</v>
      </c>
      <c r="E118" s="90" t="s">
        <v>157</v>
      </c>
      <c r="F118" s="90"/>
      <c r="G118" s="92">
        <v>0</v>
      </c>
      <c r="H118" s="92">
        <v>0</v>
      </c>
      <c r="I118" s="93">
        <v>0</v>
      </c>
      <c r="J118" s="93"/>
      <c r="K118" s="93">
        <v>0</v>
      </c>
      <c r="L118" s="92">
        <v>0</v>
      </c>
      <c r="M118" s="93">
        <v>0</v>
      </c>
      <c r="N118" s="93"/>
      <c r="O118" t="str">
        <f>CONCATENATE(A118,B118)</f>
        <v>1000000145300</v>
      </c>
      <c r="P118" s="3">
        <f>+I118</f>
        <v>0</v>
      </c>
    </row>
    <row r="119" spans="1:16" x14ac:dyDescent="0.25">
      <c r="A119" s="90" t="s">
        <v>153</v>
      </c>
      <c r="B119" s="90" t="s">
        <v>989</v>
      </c>
      <c r="C119" s="90" t="s">
        <v>990</v>
      </c>
      <c r="D119" s="91" t="s">
        <v>991</v>
      </c>
      <c r="E119" s="90" t="s">
        <v>157</v>
      </c>
      <c r="F119" s="90"/>
      <c r="G119" s="92">
        <v>-1000</v>
      </c>
      <c r="H119" s="92">
        <v>-1000</v>
      </c>
      <c r="I119" s="93">
        <v>0</v>
      </c>
      <c r="J119" s="93"/>
      <c r="K119" s="93">
        <v>0</v>
      </c>
      <c r="L119" s="92">
        <v>-1000</v>
      </c>
      <c r="M119" s="93">
        <v>0</v>
      </c>
      <c r="N119" s="93"/>
      <c r="O119" t="str">
        <f>CONCATENATE(A119,B119)</f>
        <v>1000000145400</v>
      </c>
      <c r="P119" s="3">
        <f>+I119</f>
        <v>0</v>
      </c>
    </row>
    <row r="120" spans="1:16" x14ac:dyDescent="0.25">
      <c r="A120" s="90" t="s">
        <v>153</v>
      </c>
      <c r="B120" s="90" t="s">
        <v>331</v>
      </c>
      <c r="C120" s="90" t="s">
        <v>332</v>
      </c>
      <c r="D120" s="91" t="s">
        <v>333</v>
      </c>
      <c r="E120" s="90" t="s">
        <v>157</v>
      </c>
      <c r="F120" s="90"/>
      <c r="G120" s="92">
        <v>-150000</v>
      </c>
      <c r="H120" s="92">
        <v>-150000</v>
      </c>
      <c r="I120" s="93">
        <v>-102474.92</v>
      </c>
      <c r="J120" s="93"/>
      <c r="K120" s="93">
        <v>0</v>
      </c>
      <c r="L120" s="92">
        <v>-47525.08</v>
      </c>
      <c r="M120" s="93">
        <v>68.3</v>
      </c>
      <c r="N120" s="93"/>
      <c r="O120" t="str">
        <f>CONCATENATE(A120,B120)</f>
        <v>1000000145600</v>
      </c>
      <c r="P120" s="3">
        <f>+I120</f>
        <v>-102474.92</v>
      </c>
    </row>
    <row r="121" spans="1:16" x14ac:dyDescent="0.25">
      <c r="A121" s="90" t="s">
        <v>153</v>
      </c>
      <c r="B121" s="90" t="s">
        <v>334</v>
      </c>
      <c r="C121" s="90" t="s">
        <v>335</v>
      </c>
      <c r="D121" s="91" t="s">
        <v>336</v>
      </c>
      <c r="E121" s="90" t="s">
        <v>157</v>
      </c>
      <c r="F121" s="90"/>
      <c r="G121" s="92">
        <v>-155000</v>
      </c>
      <c r="H121" s="92">
        <v>-155000</v>
      </c>
      <c r="I121" s="93">
        <v>-1163883.31</v>
      </c>
      <c r="J121" s="93"/>
      <c r="K121" s="93">
        <v>0</v>
      </c>
      <c r="L121" s="92">
        <v>1008883.31</v>
      </c>
      <c r="M121" s="93">
        <v>750.9</v>
      </c>
      <c r="N121" s="93"/>
      <c r="O121" t="str">
        <f>CONCATENATE(A121,B121)</f>
        <v>1000000146010</v>
      </c>
      <c r="P121" s="3">
        <f>+I121</f>
        <v>-1163883.31</v>
      </c>
    </row>
    <row r="122" spans="1:16" x14ac:dyDescent="0.25">
      <c r="A122" s="90" t="s">
        <v>153</v>
      </c>
      <c r="B122" s="90" t="s">
        <v>992</v>
      </c>
      <c r="C122" s="90" t="s">
        <v>993</v>
      </c>
      <c r="D122" s="91" t="s">
        <v>994</v>
      </c>
      <c r="E122" s="90" t="s">
        <v>157</v>
      </c>
      <c r="F122" s="90"/>
      <c r="G122" s="92">
        <v>0</v>
      </c>
      <c r="H122" s="92">
        <v>0</v>
      </c>
      <c r="I122" s="93">
        <v>0</v>
      </c>
      <c r="J122" s="93"/>
      <c r="K122" s="93">
        <v>0</v>
      </c>
      <c r="L122" s="92">
        <v>0</v>
      </c>
      <c r="M122" s="93">
        <v>0</v>
      </c>
      <c r="N122" s="93"/>
      <c r="O122" t="str">
        <f>CONCATENATE(A122,B122)</f>
        <v>1000000146020</v>
      </c>
      <c r="P122" s="3">
        <f>+I122</f>
        <v>0</v>
      </c>
    </row>
    <row r="123" spans="1:16" x14ac:dyDescent="0.25">
      <c r="A123" s="90" t="s">
        <v>153</v>
      </c>
      <c r="B123" s="90" t="s">
        <v>494</v>
      </c>
      <c r="C123" s="90" t="s">
        <v>495</v>
      </c>
      <c r="D123" s="91" t="s">
        <v>496</v>
      </c>
      <c r="E123" s="90" t="s">
        <v>157</v>
      </c>
      <c r="F123" s="90"/>
      <c r="G123" s="92">
        <v>-1000</v>
      </c>
      <c r="H123" s="92">
        <v>-1000</v>
      </c>
      <c r="I123" s="93">
        <v>-423.88</v>
      </c>
      <c r="J123" s="93"/>
      <c r="K123" s="93">
        <v>0</v>
      </c>
      <c r="L123" s="92">
        <v>-576.12</v>
      </c>
      <c r="M123" s="93">
        <v>42.4</v>
      </c>
      <c r="N123" s="93"/>
      <c r="O123" t="str">
        <f>CONCATENATE(A123,B123)</f>
        <v>1000000146100</v>
      </c>
      <c r="P123" s="3">
        <f>+I123</f>
        <v>-423.88</v>
      </c>
    </row>
    <row r="124" spans="1:16" x14ac:dyDescent="0.25">
      <c r="A124" s="90" t="s">
        <v>153</v>
      </c>
      <c r="B124" s="90" t="s">
        <v>497</v>
      </c>
      <c r="C124" s="90" t="s">
        <v>498</v>
      </c>
      <c r="D124" s="91" t="s">
        <v>499</v>
      </c>
      <c r="E124" s="90" t="s">
        <v>157</v>
      </c>
      <c r="F124" s="90"/>
      <c r="G124" s="92">
        <v>0</v>
      </c>
      <c r="H124" s="92">
        <v>0</v>
      </c>
      <c r="I124" s="93">
        <v>-2.4500000000000002</v>
      </c>
      <c r="J124" s="93"/>
      <c r="K124" s="93">
        <v>0</v>
      </c>
      <c r="L124" s="92">
        <v>2.4500000000000002</v>
      </c>
      <c r="M124" s="93">
        <v>100</v>
      </c>
      <c r="N124" s="93"/>
      <c r="O124" t="str">
        <f>CONCATENATE(A124,B124)</f>
        <v>1000000146200</v>
      </c>
      <c r="P124" s="3">
        <f>+I124</f>
        <v>-2.4500000000000002</v>
      </c>
    </row>
    <row r="125" spans="1:16" x14ac:dyDescent="0.25">
      <c r="A125" s="90" t="s">
        <v>153</v>
      </c>
      <c r="B125" s="90" t="s">
        <v>995</v>
      </c>
      <c r="C125" s="90" t="s">
        <v>996</v>
      </c>
      <c r="D125" s="91" t="s">
        <v>997</v>
      </c>
      <c r="E125" s="90" t="s">
        <v>157</v>
      </c>
      <c r="F125" s="90"/>
      <c r="G125" s="92">
        <v>0</v>
      </c>
      <c r="H125" s="92">
        <v>0</v>
      </c>
      <c r="I125" s="93">
        <v>0</v>
      </c>
      <c r="J125" s="93"/>
      <c r="K125" s="93">
        <v>0</v>
      </c>
      <c r="L125" s="92">
        <v>0</v>
      </c>
      <c r="M125" s="93">
        <v>0</v>
      </c>
      <c r="N125" s="93"/>
      <c r="O125" t="str">
        <f>CONCATENATE(A125,B125)</f>
        <v>1000000146300</v>
      </c>
      <c r="P125" s="3">
        <f>+I125</f>
        <v>0</v>
      </c>
    </row>
    <row r="126" spans="1:16" x14ac:dyDescent="0.25">
      <c r="A126" s="90" t="s">
        <v>153</v>
      </c>
      <c r="B126" s="90" t="s">
        <v>337</v>
      </c>
      <c r="C126" s="90" t="s">
        <v>338</v>
      </c>
      <c r="D126" s="91" t="s">
        <v>339</v>
      </c>
      <c r="E126" s="90" t="s">
        <v>157</v>
      </c>
      <c r="F126" s="90"/>
      <c r="G126" s="92">
        <v>-50000</v>
      </c>
      <c r="H126" s="92">
        <v>-50000</v>
      </c>
      <c r="I126" s="93">
        <v>-294220.37</v>
      </c>
      <c r="J126" s="93"/>
      <c r="K126" s="93">
        <v>0</v>
      </c>
      <c r="L126" s="92">
        <v>244220.37</v>
      </c>
      <c r="M126" s="93">
        <v>588.4</v>
      </c>
      <c r="N126" s="93"/>
      <c r="O126" t="str">
        <f>CONCATENATE(A126,B126)</f>
        <v>1000000147010</v>
      </c>
      <c r="P126" s="3">
        <f>+I126</f>
        <v>-294220.37</v>
      </c>
    </row>
    <row r="127" spans="1:16" x14ac:dyDescent="0.25">
      <c r="A127" s="90" t="s">
        <v>153</v>
      </c>
      <c r="B127" s="90" t="s">
        <v>998</v>
      </c>
      <c r="C127" s="90" t="s">
        <v>999</v>
      </c>
      <c r="D127" s="91" t="s">
        <v>1000</v>
      </c>
      <c r="E127" s="90" t="s">
        <v>157</v>
      </c>
      <c r="F127" s="90"/>
      <c r="G127" s="92">
        <v>0</v>
      </c>
      <c r="H127" s="92">
        <v>0</v>
      </c>
      <c r="I127" s="93">
        <v>0</v>
      </c>
      <c r="J127" s="93"/>
      <c r="K127" s="93">
        <v>0</v>
      </c>
      <c r="L127" s="92">
        <v>0</v>
      </c>
      <c r="M127" s="93">
        <v>0</v>
      </c>
      <c r="N127" s="93"/>
      <c r="O127" t="str">
        <f>CONCATENATE(A127,B127)</f>
        <v>1000000147011</v>
      </c>
      <c r="P127" s="3">
        <f>+I127</f>
        <v>0</v>
      </c>
    </row>
    <row r="128" spans="1:16" x14ac:dyDescent="0.25">
      <c r="A128" s="90" t="s">
        <v>153</v>
      </c>
      <c r="B128" s="90" t="s">
        <v>340</v>
      </c>
      <c r="C128" s="90" t="s">
        <v>341</v>
      </c>
      <c r="D128" s="91" t="s">
        <v>342</v>
      </c>
      <c r="E128" s="90" t="s">
        <v>157</v>
      </c>
      <c r="F128" s="90"/>
      <c r="G128" s="92">
        <v>-10000</v>
      </c>
      <c r="H128" s="92">
        <v>-10000</v>
      </c>
      <c r="I128" s="93">
        <v>0</v>
      </c>
      <c r="J128" s="93"/>
      <c r="K128" s="93">
        <v>0</v>
      </c>
      <c r="L128" s="92">
        <v>-10000</v>
      </c>
      <c r="M128" s="93">
        <v>0</v>
      </c>
      <c r="N128" s="93"/>
      <c r="O128" t="str">
        <f>CONCATENATE(A128,B128)</f>
        <v>1000000147012</v>
      </c>
      <c r="P128" s="3">
        <f>+I128</f>
        <v>0</v>
      </c>
    </row>
    <row r="129" spans="1:16" x14ac:dyDescent="0.25">
      <c r="A129" s="90" t="s">
        <v>153</v>
      </c>
      <c r="B129" s="90" t="s">
        <v>343</v>
      </c>
      <c r="C129" s="90" t="s">
        <v>344</v>
      </c>
      <c r="D129" s="91" t="s">
        <v>345</v>
      </c>
      <c r="E129" s="90" t="s">
        <v>157</v>
      </c>
      <c r="F129" s="90"/>
      <c r="G129" s="92">
        <v>-25000</v>
      </c>
      <c r="H129" s="92">
        <v>-25000</v>
      </c>
      <c r="I129" s="93">
        <v>-38897.58</v>
      </c>
      <c r="J129" s="93"/>
      <c r="K129" s="93">
        <v>0</v>
      </c>
      <c r="L129" s="92">
        <v>13897.58</v>
      </c>
      <c r="M129" s="93">
        <v>155.6</v>
      </c>
      <c r="N129" s="93"/>
      <c r="O129" t="str">
        <f>CONCATENATE(A129,B129)</f>
        <v>1000000147210</v>
      </c>
      <c r="P129" s="3">
        <f>+I129</f>
        <v>-38897.58</v>
      </c>
    </row>
    <row r="130" spans="1:16" x14ac:dyDescent="0.25">
      <c r="A130" s="90" t="s">
        <v>153</v>
      </c>
      <c r="B130" s="90" t="s">
        <v>346</v>
      </c>
      <c r="C130" s="90" t="s">
        <v>347</v>
      </c>
      <c r="D130" s="91" t="s">
        <v>348</v>
      </c>
      <c r="E130" s="90" t="s">
        <v>157</v>
      </c>
      <c r="F130" s="90"/>
      <c r="G130" s="92">
        <v>-250000</v>
      </c>
      <c r="H130" s="92">
        <v>-250000</v>
      </c>
      <c r="I130" s="93">
        <v>-260676.8</v>
      </c>
      <c r="J130" s="93"/>
      <c r="K130" s="93">
        <v>0</v>
      </c>
      <c r="L130" s="92">
        <v>10676.8</v>
      </c>
      <c r="M130" s="93">
        <v>104.3</v>
      </c>
      <c r="N130" s="93"/>
      <c r="O130" t="str">
        <f>CONCATENATE(A130,B130)</f>
        <v>1000000147400</v>
      </c>
      <c r="P130" s="3">
        <f>+I130</f>
        <v>-260676.8</v>
      </c>
    </row>
    <row r="131" spans="1:16" x14ac:dyDescent="0.25">
      <c r="A131" s="90" t="s">
        <v>153</v>
      </c>
      <c r="B131" s="90" t="s">
        <v>544</v>
      </c>
      <c r="C131" s="90" t="s">
        <v>545</v>
      </c>
      <c r="D131" s="91" t="s">
        <v>546</v>
      </c>
      <c r="E131" s="90" t="s">
        <v>157</v>
      </c>
      <c r="F131" s="90"/>
      <c r="G131" s="92">
        <v>0</v>
      </c>
      <c r="H131" s="92">
        <v>0</v>
      </c>
      <c r="I131" s="93">
        <v>-27.99</v>
      </c>
      <c r="J131" s="93"/>
      <c r="K131" s="93">
        <v>0</v>
      </c>
      <c r="L131" s="92">
        <v>27.99</v>
      </c>
      <c r="M131" s="93">
        <v>100</v>
      </c>
      <c r="N131" s="93"/>
      <c r="O131" t="str">
        <f>CONCATENATE(A131,B131)</f>
        <v>1000000147410</v>
      </c>
      <c r="P131" s="3">
        <f>+I131</f>
        <v>-27.99</v>
      </c>
    </row>
    <row r="132" spans="1:16" x14ac:dyDescent="0.25">
      <c r="A132" s="90" t="s">
        <v>153</v>
      </c>
      <c r="B132" s="90" t="s">
        <v>349</v>
      </c>
      <c r="C132" s="90" t="s">
        <v>350</v>
      </c>
      <c r="D132" s="91" t="s">
        <v>351</v>
      </c>
      <c r="E132" s="90" t="s">
        <v>157</v>
      </c>
      <c r="F132" s="90"/>
      <c r="G132" s="92">
        <v>0</v>
      </c>
      <c r="H132" s="92">
        <v>0</v>
      </c>
      <c r="I132" s="93">
        <v>24691.08</v>
      </c>
      <c r="J132" s="93"/>
      <c r="K132" s="93">
        <v>0</v>
      </c>
      <c r="L132" s="92">
        <v>-24691.08</v>
      </c>
      <c r="M132" s="93">
        <v>100</v>
      </c>
      <c r="N132" s="93"/>
      <c r="O132" t="str">
        <f>CONCATENATE(A132,B132)</f>
        <v>1000000147800</v>
      </c>
      <c r="P132" s="3">
        <f>+I132</f>
        <v>24691.08</v>
      </c>
    </row>
    <row r="133" spans="1:16" x14ac:dyDescent="0.25">
      <c r="A133" s="90" t="s">
        <v>153</v>
      </c>
      <c r="B133" s="90" t="s">
        <v>1001</v>
      </c>
      <c r="C133" s="90" t="s">
        <v>1002</v>
      </c>
      <c r="D133" s="91" t="s">
        <v>1003</v>
      </c>
      <c r="E133" s="90" t="s">
        <v>157</v>
      </c>
      <c r="F133" s="90"/>
      <c r="G133" s="92">
        <v>0</v>
      </c>
      <c r="H133" s="92">
        <v>0</v>
      </c>
      <c r="I133" s="93">
        <v>0</v>
      </c>
      <c r="J133" s="93"/>
      <c r="K133" s="93">
        <v>0</v>
      </c>
      <c r="L133" s="92">
        <v>0</v>
      </c>
      <c r="M133" s="93">
        <v>0</v>
      </c>
      <c r="N133" s="93"/>
      <c r="O133" t="str">
        <f>CONCATENATE(A133,B133)</f>
        <v>1000000148570</v>
      </c>
      <c r="P133" s="3">
        <f>+I133</f>
        <v>0</v>
      </c>
    </row>
    <row r="134" spans="1:16" x14ac:dyDescent="0.25">
      <c r="A134" s="90" t="s">
        <v>153</v>
      </c>
      <c r="B134" s="90" t="s">
        <v>1004</v>
      </c>
      <c r="C134" s="90" t="s">
        <v>1005</v>
      </c>
      <c r="D134" s="91" t="s">
        <v>1006</v>
      </c>
      <c r="E134" s="90" t="s">
        <v>157</v>
      </c>
      <c r="F134" s="90"/>
      <c r="G134" s="92">
        <v>0</v>
      </c>
      <c r="H134" s="92">
        <v>-31776862.530000001</v>
      </c>
      <c r="I134" s="93">
        <v>0</v>
      </c>
      <c r="J134" s="93"/>
      <c r="K134" s="93">
        <v>0</v>
      </c>
      <c r="L134" s="92">
        <v>-31776862.530000001</v>
      </c>
      <c r="M134" s="93">
        <v>0</v>
      </c>
      <c r="N134" s="93"/>
      <c r="O134" t="str">
        <f>CONCATENATE(A134,B134)</f>
        <v>1000000148910</v>
      </c>
      <c r="P134" s="3">
        <f>+I134</f>
        <v>0</v>
      </c>
    </row>
    <row r="135" spans="1:16" x14ac:dyDescent="0.25">
      <c r="A135" s="90" t="s">
        <v>153</v>
      </c>
      <c r="B135" s="90" t="s">
        <v>1007</v>
      </c>
      <c r="C135" s="90" t="s">
        <v>1008</v>
      </c>
      <c r="D135" s="91" t="s">
        <v>1009</v>
      </c>
      <c r="E135" s="90" t="s">
        <v>157</v>
      </c>
      <c r="F135" s="90"/>
      <c r="G135" s="92">
        <v>0</v>
      </c>
      <c r="H135" s="92">
        <v>0</v>
      </c>
      <c r="I135" s="93">
        <v>0</v>
      </c>
      <c r="J135" s="93"/>
      <c r="K135" s="93">
        <v>0</v>
      </c>
      <c r="L135" s="92">
        <v>0</v>
      </c>
      <c r="M135" s="93">
        <v>0</v>
      </c>
      <c r="N135" s="93"/>
      <c r="O135" t="str">
        <f>CONCATENATE(A135,B135)</f>
        <v>1000000148920</v>
      </c>
      <c r="P135" s="3">
        <f>+I135</f>
        <v>0</v>
      </c>
    </row>
    <row r="136" spans="1:16" x14ac:dyDescent="0.25">
      <c r="A136" s="90" t="s">
        <v>153</v>
      </c>
      <c r="B136" s="90" t="s">
        <v>1010</v>
      </c>
      <c r="C136" s="90" t="s">
        <v>1011</v>
      </c>
      <c r="D136" s="91" t="s">
        <v>1012</v>
      </c>
      <c r="E136" s="90" t="s">
        <v>157</v>
      </c>
      <c r="F136" s="90"/>
      <c r="G136" s="92">
        <v>0</v>
      </c>
      <c r="H136" s="92">
        <v>0</v>
      </c>
      <c r="I136" s="93">
        <v>0</v>
      </c>
      <c r="J136" s="93"/>
      <c r="K136" s="93">
        <v>0</v>
      </c>
      <c r="L136" s="92">
        <v>0</v>
      </c>
      <c r="M136" s="93">
        <v>0</v>
      </c>
      <c r="N136" s="93"/>
      <c r="O136" t="str">
        <f>CONCATENATE(A136,B136)</f>
        <v>1000000148930</v>
      </c>
      <c r="P136" s="3">
        <f>+I136</f>
        <v>0</v>
      </c>
    </row>
    <row r="137" spans="1:16" x14ac:dyDescent="0.25">
      <c r="A137" s="90" t="s">
        <v>153</v>
      </c>
      <c r="B137" s="90" t="s">
        <v>510</v>
      </c>
      <c r="C137" s="90" t="s">
        <v>511</v>
      </c>
      <c r="D137" s="91" t="s">
        <v>528</v>
      </c>
      <c r="E137" s="90" t="s">
        <v>157</v>
      </c>
      <c r="F137" s="90"/>
      <c r="G137" s="92">
        <v>0</v>
      </c>
      <c r="H137" s="92">
        <v>-668575.47</v>
      </c>
      <c r="I137" s="93">
        <v>-668575.47</v>
      </c>
      <c r="J137" s="93"/>
      <c r="K137" s="93">
        <v>0</v>
      </c>
      <c r="L137" s="92">
        <v>0</v>
      </c>
      <c r="M137" s="93">
        <v>100</v>
      </c>
      <c r="N137" s="93"/>
      <c r="O137" t="str">
        <f>CONCATENATE(A137,B137)</f>
        <v>1000000149100</v>
      </c>
      <c r="P137" s="3">
        <f>+I137</f>
        <v>-668575.47</v>
      </c>
    </row>
    <row r="138" spans="1:16" x14ac:dyDescent="0.25">
      <c r="A138" s="90" t="s">
        <v>153</v>
      </c>
      <c r="B138" s="90" t="s">
        <v>464</v>
      </c>
      <c r="C138" s="90" t="s">
        <v>465</v>
      </c>
      <c r="D138" s="91" t="s">
        <v>466</v>
      </c>
      <c r="E138" s="90" t="s">
        <v>157</v>
      </c>
      <c r="F138" s="90"/>
      <c r="G138" s="92">
        <v>-433750</v>
      </c>
      <c r="H138" s="92">
        <v>-633750</v>
      </c>
      <c r="I138" s="93">
        <v>-1597270.28</v>
      </c>
      <c r="J138" s="93"/>
      <c r="K138" s="93">
        <v>0</v>
      </c>
      <c r="L138" s="92">
        <v>963520.28</v>
      </c>
      <c r="M138" s="93">
        <v>252</v>
      </c>
      <c r="N138" s="93"/>
      <c r="O138" t="str">
        <f>CONCATENATE(A138,B138)</f>
        <v>1000000149200</v>
      </c>
      <c r="P138" s="3">
        <f>+I138</f>
        <v>-1597270.28</v>
      </c>
    </row>
    <row r="139" spans="1:16" x14ac:dyDescent="0.25">
      <c r="A139" s="90" t="s">
        <v>153</v>
      </c>
      <c r="B139" s="90" t="s">
        <v>480</v>
      </c>
      <c r="C139" s="90" t="s">
        <v>481</v>
      </c>
      <c r="D139" s="91" t="s">
        <v>482</v>
      </c>
      <c r="E139" s="90" t="s">
        <v>157</v>
      </c>
      <c r="F139" s="90"/>
      <c r="G139" s="92">
        <v>-112000</v>
      </c>
      <c r="H139" s="92">
        <v>-112000</v>
      </c>
      <c r="I139" s="93">
        <v>-213438.27</v>
      </c>
      <c r="J139" s="93"/>
      <c r="K139" s="93">
        <v>0</v>
      </c>
      <c r="L139" s="92">
        <v>101438.27</v>
      </c>
      <c r="M139" s="93">
        <v>190.6</v>
      </c>
      <c r="N139" s="93"/>
      <c r="O139" t="str">
        <f>CONCATENATE(A139,B139)</f>
        <v>1000000149201</v>
      </c>
      <c r="P139" s="3">
        <f>+I139</f>
        <v>-213438.27</v>
      </c>
    </row>
    <row r="140" spans="1:16" x14ac:dyDescent="0.25">
      <c r="A140" s="90" t="s">
        <v>153</v>
      </c>
      <c r="B140" s="90" t="s">
        <v>1013</v>
      </c>
      <c r="C140" s="90" t="s">
        <v>1014</v>
      </c>
      <c r="D140" s="91" t="s">
        <v>1015</v>
      </c>
      <c r="E140" s="90" t="s">
        <v>157</v>
      </c>
      <c r="F140" s="90"/>
      <c r="G140" s="92">
        <v>-1708000</v>
      </c>
      <c r="H140" s="92">
        <v>-1708000</v>
      </c>
      <c r="I140" s="93">
        <v>-854000</v>
      </c>
      <c r="J140" s="93"/>
      <c r="K140" s="93">
        <v>0</v>
      </c>
      <c r="L140" s="92">
        <v>-854000</v>
      </c>
      <c r="M140" s="93">
        <v>50</v>
      </c>
      <c r="N140" s="93"/>
      <c r="O140" t="str">
        <f>CONCATENATE(A140,B140)</f>
        <v>1000000149217</v>
      </c>
      <c r="P140" s="3">
        <f>+I140</f>
        <v>-854000</v>
      </c>
    </row>
    <row r="141" spans="1:16" x14ac:dyDescent="0.25">
      <c r="A141" s="90" t="s">
        <v>153</v>
      </c>
      <c r="B141" s="90" t="s">
        <v>1016</v>
      </c>
      <c r="C141" s="90" t="s">
        <v>1017</v>
      </c>
      <c r="D141" s="91" t="s">
        <v>1018</v>
      </c>
      <c r="E141" s="90" t="s">
        <v>157</v>
      </c>
      <c r="F141" s="90"/>
      <c r="G141" s="92">
        <v>0</v>
      </c>
      <c r="H141" s="92">
        <v>0</v>
      </c>
      <c r="I141" s="93">
        <v>0</v>
      </c>
      <c r="J141" s="93"/>
      <c r="K141" s="93">
        <v>0</v>
      </c>
      <c r="L141" s="92">
        <v>0</v>
      </c>
      <c r="M141" s="93">
        <v>0</v>
      </c>
      <c r="N141" s="93"/>
      <c r="O141" t="str">
        <f>CONCATENATE(A141,B141)</f>
        <v>10000001492701</v>
      </c>
      <c r="P141" s="3">
        <f>+I141</f>
        <v>0</v>
      </c>
    </row>
    <row r="142" spans="1:16" x14ac:dyDescent="0.25">
      <c r="A142" s="90" t="s">
        <v>153</v>
      </c>
      <c r="B142" s="90" t="s">
        <v>1019</v>
      </c>
      <c r="C142" s="90" t="s">
        <v>1020</v>
      </c>
      <c r="D142" s="91" t="s">
        <v>1021</v>
      </c>
      <c r="E142" s="90" t="s">
        <v>157</v>
      </c>
      <c r="F142" s="90"/>
      <c r="G142" s="92">
        <v>0</v>
      </c>
      <c r="H142" s="92">
        <v>0</v>
      </c>
      <c r="I142" s="93">
        <v>0</v>
      </c>
      <c r="J142" s="93"/>
      <c r="K142" s="93">
        <v>0</v>
      </c>
      <c r="L142" s="92">
        <v>0</v>
      </c>
      <c r="M142" s="93">
        <v>0</v>
      </c>
      <c r="N142" s="93"/>
      <c r="O142" t="str">
        <f>CONCATENATE(A142,B142)</f>
        <v>1000000149603</v>
      </c>
      <c r="P142" s="3">
        <f>+I142</f>
        <v>0</v>
      </c>
    </row>
    <row r="143" spans="1:16" x14ac:dyDescent="0.25">
      <c r="A143" s="90" t="s">
        <v>153</v>
      </c>
      <c r="B143" s="90" t="s">
        <v>1022</v>
      </c>
      <c r="C143" s="90" t="s">
        <v>1023</v>
      </c>
      <c r="D143" s="91" t="s">
        <v>1024</v>
      </c>
      <c r="E143" s="90" t="s">
        <v>157</v>
      </c>
      <c r="F143" s="90"/>
      <c r="G143" s="92">
        <v>0</v>
      </c>
      <c r="H143" s="92">
        <v>0</v>
      </c>
      <c r="I143" s="93">
        <v>0</v>
      </c>
      <c r="J143" s="93"/>
      <c r="K143" s="93">
        <v>0</v>
      </c>
      <c r="L143" s="92">
        <v>0</v>
      </c>
      <c r="M143" s="93">
        <v>0</v>
      </c>
      <c r="N143" s="93"/>
      <c r="O143" t="str">
        <f>CONCATENATE(A143,B143)</f>
        <v>1000000149CAP</v>
      </c>
      <c r="P143" s="3">
        <f>+I143</f>
        <v>0</v>
      </c>
    </row>
    <row r="144" spans="1:16" x14ac:dyDescent="0.25">
      <c r="A144" s="90" t="s">
        <v>153</v>
      </c>
      <c r="B144" s="90" t="s">
        <v>1025</v>
      </c>
      <c r="C144" s="90" t="s">
        <v>1026</v>
      </c>
      <c r="D144" s="91" t="s">
        <v>1027</v>
      </c>
      <c r="E144" s="90" t="s">
        <v>157</v>
      </c>
      <c r="F144" s="90"/>
      <c r="G144" s="92">
        <v>0</v>
      </c>
      <c r="H144" s="92">
        <v>0</v>
      </c>
      <c r="I144" s="93">
        <v>0</v>
      </c>
      <c r="J144" s="93"/>
      <c r="K144" s="93">
        <v>0</v>
      </c>
      <c r="L144" s="92">
        <v>0</v>
      </c>
      <c r="M144" s="93">
        <v>0</v>
      </c>
      <c r="N144" s="93"/>
      <c r="O144" t="str">
        <f>CONCATENATE(A144,B144)</f>
        <v>1000000149SRF</v>
      </c>
      <c r="P144" s="3">
        <f>+I144</f>
        <v>0</v>
      </c>
    </row>
    <row r="145" spans="1:16" x14ac:dyDescent="0.25">
      <c r="A145" s="90" t="s">
        <v>153</v>
      </c>
      <c r="B145" s="90" t="s">
        <v>1028</v>
      </c>
      <c r="C145" s="90" t="s">
        <v>1029</v>
      </c>
      <c r="D145" s="91" t="s">
        <v>1030</v>
      </c>
      <c r="E145" s="90" t="s">
        <v>157</v>
      </c>
      <c r="F145" s="90"/>
      <c r="G145" s="92">
        <v>0</v>
      </c>
      <c r="H145" s="92">
        <v>0</v>
      </c>
      <c r="I145" s="93">
        <v>0</v>
      </c>
      <c r="J145" s="93"/>
      <c r="K145" s="93">
        <v>0</v>
      </c>
      <c r="L145" s="92">
        <v>0</v>
      </c>
      <c r="M145" s="93">
        <v>0</v>
      </c>
      <c r="N145" s="93"/>
      <c r="O145" t="str">
        <f>CONCATENATE(A145,B145)</f>
        <v>1000000149TRUF</v>
      </c>
      <c r="P145" s="3">
        <f>+I145</f>
        <v>0</v>
      </c>
    </row>
    <row r="146" spans="1:16" x14ac:dyDescent="0.25">
      <c r="A146" s="90" t="s">
        <v>153</v>
      </c>
      <c r="B146" s="90" t="s">
        <v>1031</v>
      </c>
      <c r="C146" s="90" t="s">
        <v>1032</v>
      </c>
      <c r="D146" s="91" t="s">
        <v>1033</v>
      </c>
      <c r="E146" s="90" t="s">
        <v>157</v>
      </c>
      <c r="F146" s="90"/>
      <c r="G146" s="92">
        <v>0</v>
      </c>
      <c r="H146" s="92">
        <v>0</v>
      </c>
      <c r="I146" s="93">
        <v>0</v>
      </c>
      <c r="J146" s="93"/>
      <c r="K146" s="93">
        <v>0</v>
      </c>
      <c r="L146" s="92">
        <v>0</v>
      </c>
      <c r="M146" s="93">
        <v>0</v>
      </c>
      <c r="N146" s="93"/>
      <c r="O146" t="str">
        <f>CONCATENATE(A146,B146)</f>
        <v>100000014CARE</v>
      </c>
      <c r="P146" s="3">
        <f>+I146</f>
        <v>0</v>
      </c>
    </row>
    <row r="147" spans="1:16" x14ac:dyDescent="0.25">
      <c r="A147" s="90"/>
      <c r="B147" s="90"/>
      <c r="C147" s="90"/>
      <c r="D147" s="91"/>
      <c r="E147" s="90"/>
      <c r="F147" s="90"/>
      <c r="G147" s="92"/>
      <c r="H147" s="92"/>
      <c r="I147" s="93"/>
      <c r="J147" s="93"/>
      <c r="K147" s="93"/>
      <c r="L147" s="92"/>
      <c r="M147" s="93"/>
      <c r="N147" s="93"/>
    </row>
    <row r="148" spans="1:16" x14ac:dyDescent="0.25">
      <c r="A148" s="90"/>
      <c r="B148" s="90"/>
      <c r="C148" s="90"/>
      <c r="D148" s="91"/>
      <c r="E148" s="90"/>
      <c r="F148" s="90"/>
      <c r="G148" s="92"/>
      <c r="H148" s="92"/>
      <c r="I148" s="93"/>
      <c r="J148" s="93"/>
      <c r="K148" s="93"/>
      <c r="L148" s="92"/>
      <c r="M148" s="93"/>
      <c r="N148" s="93"/>
    </row>
    <row r="149" spans="1:16" x14ac:dyDescent="0.25">
      <c r="A149" s="90"/>
      <c r="B149" s="90"/>
      <c r="C149" s="90"/>
      <c r="D149" s="91"/>
      <c r="E149" s="90"/>
      <c r="F149" s="90"/>
      <c r="G149" s="92"/>
      <c r="H149" s="92"/>
      <c r="I149" s="93"/>
      <c r="J149" s="93"/>
      <c r="K149" s="93"/>
      <c r="L149" s="92"/>
      <c r="M149" s="93"/>
      <c r="N149" s="93"/>
    </row>
    <row r="150" spans="1:16" x14ac:dyDescent="0.25">
      <c r="A150" s="90"/>
      <c r="B150" s="90"/>
      <c r="C150" s="90"/>
      <c r="D150" s="91"/>
      <c r="E150" s="90"/>
      <c r="F150" s="90"/>
      <c r="G150" s="92"/>
      <c r="H150" s="92"/>
      <c r="I150" s="93"/>
      <c r="J150" s="93"/>
      <c r="K150" s="93"/>
      <c r="L150" s="92"/>
      <c r="M150" s="93"/>
      <c r="N150" s="93"/>
    </row>
    <row r="151" spans="1:16" x14ac:dyDescent="0.25">
      <c r="A151" s="90"/>
      <c r="B151" s="90"/>
      <c r="C151" s="90"/>
      <c r="D151" s="91"/>
      <c r="E151" s="90"/>
      <c r="F151" s="90"/>
      <c r="G151" s="92"/>
      <c r="H151" s="92"/>
      <c r="I151" s="93"/>
      <c r="J151" s="93"/>
      <c r="K151" s="93"/>
      <c r="L151" s="92"/>
      <c r="M151" s="93"/>
      <c r="N151" s="93"/>
    </row>
    <row r="152" spans="1:16" x14ac:dyDescent="0.25">
      <c r="A152" s="90"/>
      <c r="B152" s="90"/>
      <c r="C152" s="90"/>
      <c r="D152" s="91"/>
      <c r="E152" s="90"/>
      <c r="F152" s="90"/>
      <c r="G152" s="92"/>
      <c r="H152" s="92"/>
      <c r="I152" s="93"/>
      <c r="J152" s="93"/>
      <c r="K152" s="93"/>
      <c r="L152" s="92"/>
      <c r="M152" s="93"/>
      <c r="N152" s="93"/>
    </row>
    <row r="153" spans="1:16" x14ac:dyDescent="0.25">
      <c r="A153" s="90"/>
      <c r="B153" s="90"/>
      <c r="C153" s="90"/>
      <c r="D153" s="91"/>
      <c r="E153" s="90"/>
      <c r="F153" s="90"/>
      <c r="G153" s="92"/>
      <c r="H153" s="92"/>
      <c r="I153" s="93"/>
      <c r="J153" s="93"/>
      <c r="K153" s="93"/>
      <c r="L153" s="92"/>
      <c r="M153" s="93"/>
      <c r="N153" s="93"/>
    </row>
    <row r="154" spans="1:16" x14ac:dyDescent="0.25">
      <c r="A154" s="90"/>
      <c r="B154" s="90"/>
      <c r="C154" s="90"/>
      <c r="D154" s="91"/>
      <c r="E154" s="90"/>
      <c r="F154" s="90"/>
      <c r="G154" s="92"/>
      <c r="H154" s="92"/>
      <c r="I154" s="93"/>
      <c r="J154" s="93"/>
      <c r="K154" s="93"/>
      <c r="L154" s="92"/>
      <c r="M154" s="93"/>
      <c r="N154" s="93"/>
    </row>
    <row r="155" spans="1:16" x14ac:dyDescent="0.25">
      <c r="A155" s="90"/>
      <c r="B155" s="90"/>
      <c r="C155" s="90"/>
      <c r="D155" s="91"/>
      <c r="E155" s="90"/>
      <c r="F155" s="90"/>
      <c r="G155" s="92"/>
      <c r="H155" s="92"/>
      <c r="I155" s="93"/>
      <c r="J155" s="93"/>
      <c r="K155" s="93"/>
      <c r="L155" s="92"/>
      <c r="M155" s="93"/>
      <c r="N155" s="93"/>
    </row>
    <row r="156" spans="1:16" x14ac:dyDescent="0.25">
      <c r="A156" s="90"/>
      <c r="B156" s="90"/>
      <c r="C156" s="90"/>
      <c r="D156" s="91"/>
      <c r="E156" s="90"/>
      <c r="F156" s="90"/>
      <c r="G156" s="92"/>
      <c r="H156" s="92"/>
      <c r="I156" s="93"/>
      <c r="J156" s="93"/>
      <c r="K156" s="93"/>
      <c r="L156" s="92"/>
      <c r="M156" s="93"/>
      <c r="N156" s="93"/>
    </row>
    <row r="157" spans="1:16" x14ac:dyDescent="0.25">
      <c r="A157" s="90"/>
      <c r="B157" s="90"/>
      <c r="C157" s="90"/>
      <c r="D157" s="91"/>
      <c r="E157" s="90"/>
      <c r="F157" s="90"/>
      <c r="G157" s="92"/>
      <c r="H157" s="92"/>
      <c r="I157" s="93"/>
      <c r="J157" s="93"/>
      <c r="K157" s="93"/>
      <c r="L157" s="92"/>
      <c r="M157" s="93"/>
      <c r="N157" s="93"/>
    </row>
    <row r="158" spans="1:16" x14ac:dyDescent="0.25">
      <c r="A158" s="90"/>
      <c r="B158" s="90"/>
      <c r="C158" s="90"/>
      <c r="D158" s="91"/>
      <c r="E158" s="90"/>
      <c r="F158" s="90"/>
      <c r="G158" s="92"/>
      <c r="H158" s="92"/>
      <c r="I158" s="93"/>
      <c r="J158" s="93"/>
      <c r="K158" s="93"/>
      <c r="L158" s="92"/>
      <c r="M158" s="93"/>
      <c r="N158" s="93"/>
    </row>
    <row r="159" spans="1:16" x14ac:dyDescent="0.25">
      <c r="A159" s="90"/>
      <c r="B159" s="90"/>
      <c r="C159" s="90"/>
      <c r="D159" s="91"/>
      <c r="E159" s="90"/>
      <c r="F159" s="90"/>
      <c r="G159" s="92"/>
      <c r="H159" s="92"/>
      <c r="I159" s="93"/>
      <c r="J159" s="93"/>
      <c r="K159" s="93"/>
      <c r="L159" s="92"/>
      <c r="M159" s="93"/>
      <c r="N159" s="93"/>
    </row>
    <row r="160" spans="1:16" x14ac:dyDescent="0.25">
      <c r="A160" s="90"/>
      <c r="B160" s="90"/>
      <c r="C160" s="90"/>
      <c r="D160" s="91"/>
      <c r="E160" s="90"/>
      <c r="F160" s="90"/>
      <c r="G160" s="92"/>
      <c r="H160" s="92"/>
      <c r="I160" s="93"/>
      <c r="J160" s="93"/>
      <c r="K160" s="93"/>
      <c r="L160" s="92"/>
      <c r="M160" s="93"/>
      <c r="N160" s="93"/>
    </row>
    <row r="161" spans="1:14" x14ac:dyDescent="0.25">
      <c r="A161" s="90"/>
      <c r="B161" s="90"/>
      <c r="C161" s="90"/>
      <c r="D161" s="91"/>
      <c r="E161" s="90"/>
      <c r="F161" s="90"/>
      <c r="G161" s="92"/>
      <c r="H161" s="92"/>
      <c r="I161" s="93"/>
      <c r="J161" s="93"/>
      <c r="K161" s="93"/>
      <c r="L161" s="92"/>
      <c r="M161" s="93"/>
      <c r="N161" s="93"/>
    </row>
    <row r="162" spans="1:14" x14ac:dyDescent="0.25">
      <c r="A162" s="90"/>
      <c r="B162" s="90"/>
      <c r="C162" s="90"/>
      <c r="D162" s="91"/>
      <c r="E162" s="90"/>
      <c r="F162" s="90"/>
      <c r="G162" s="92"/>
      <c r="H162" s="92"/>
      <c r="I162" s="93"/>
      <c r="J162" s="93"/>
      <c r="K162" s="93"/>
      <c r="L162" s="92"/>
      <c r="M162" s="93"/>
      <c r="N162" s="93"/>
    </row>
    <row r="163" spans="1:14" x14ac:dyDescent="0.25">
      <c r="A163" s="90"/>
      <c r="B163" s="90"/>
      <c r="C163" s="90"/>
      <c r="D163" s="91"/>
      <c r="E163" s="90"/>
      <c r="F163" s="90"/>
      <c r="G163" s="92"/>
      <c r="H163" s="92"/>
      <c r="I163" s="93"/>
      <c r="J163" s="93"/>
      <c r="K163" s="93"/>
      <c r="L163" s="92"/>
      <c r="M163" s="93"/>
      <c r="N163" s="93"/>
    </row>
    <row r="164" spans="1:14" x14ac:dyDescent="0.25">
      <c r="A164" s="90"/>
      <c r="B164" s="90"/>
      <c r="C164" s="90"/>
      <c r="D164" s="91"/>
      <c r="E164" s="90"/>
      <c r="F164" s="90"/>
      <c r="G164" s="92"/>
      <c r="H164" s="92"/>
      <c r="I164" s="93"/>
      <c r="J164" s="93"/>
      <c r="K164" s="93"/>
      <c r="L164" s="92"/>
      <c r="M164" s="93"/>
      <c r="N164" s="93"/>
    </row>
    <row r="165" spans="1:14" x14ac:dyDescent="0.25">
      <c r="A165" s="90"/>
      <c r="B165" s="90"/>
      <c r="C165" s="90"/>
      <c r="D165" s="91"/>
      <c r="E165" s="90"/>
      <c r="F165" s="90"/>
      <c r="G165" s="92"/>
      <c r="H165" s="92"/>
      <c r="I165" s="93"/>
      <c r="J165" s="93"/>
      <c r="K165" s="93"/>
      <c r="L165" s="92"/>
      <c r="M165" s="93"/>
      <c r="N165" s="93"/>
    </row>
    <row r="166" spans="1:14" x14ac:dyDescent="0.25">
      <c r="A166" s="90"/>
      <c r="B166" s="90"/>
      <c r="C166" s="90"/>
      <c r="D166" s="91"/>
      <c r="E166" s="90"/>
      <c r="F166" s="90"/>
      <c r="G166" s="92"/>
      <c r="H166" s="92"/>
      <c r="I166" s="93"/>
      <c r="J166" s="93"/>
      <c r="K166" s="93"/>
      <c r="L166" s="92"/>
      <c r="M166" s="93"/>
      <c r="N166" s="93"/>
    </row>
    <row r="167" spans="1:14" x14ac:dyDescent="0.25">
      <c r="A167" s="90"/>
      <c r="B167" s="90"/>
      <c r="C167" s="90"/>
      <c r="D167" s="91"/>
      <c r="E167" s="90"/>
      <c r="F167" s="90"/>
      <c r="G167" s="92"/>
      <c r="H167" s="92"/>
      <c r="I167" s="93"/>
      <c r="J167" s="93"/>
      <c r="K167" s="93"/>
      <c r="L167" s="92"/>
      <c r="M167" s="93"/>
      <c r="N167" s="93"/>
    </row>
    <row r="168" spans="1:14" x14ac:dyDescent="0.25">
      <c r="A168" s="90"/>
      <c r="B168" s="90"/>
      <c r="C168" s="90"/>
      <c r="D168" s="91"/>
      <c r="E168" s="90"/>
      <c r="F168" s="90"/>
      <c r="G168" s="92"/>
      <c r="H168" s="92"/>
      <c r="I168" s="93"/>
      <c r="J168" s="93"/>
      <c r="K168" s="93"/>
      <c r="L168" s="92"/>
      <c r="M168" s="93"/>
      <c r="N168" s="93"/>
    </row>
    <row r="169" spans="1:14" x14ac:dyDescent="0.25">
      <c r="A169" s="90"/>
      <c r="B169" s="90"/>
      <c r="C169" s="90"/>
      <c r="D169" s="91"/>
      <c r="E169" s="90"/>
      <c r="F169" s="90"/>
      <c r="G169" s="92"/>
      <c r="H169" s="92"/>
      <c r="I169" s="93"/>
      <c r="J169" s="93"/>
      <c r="K169" s="93"/>
      <c r="L169" s="92"/>
      <c r="M169" s="93"/>
      <c r="N169" s="93"/>
    </row>
    <row r="170" spans="1:14" x14ac:dyDescent="0.25">
      <c r="A170" s="90"/>
      <c r="B170" s="90"/>
      <c r="C170" s="90"/>
      <c r="D170" s="91"/>
      <c r="E170" s="90"/>
      <c r="F170" s="90"/>
      <c r="G170" s="92"/>
      <c r="H170" s="92"/>
      <c r="I170" s="93"/>
      <c r="J170" s="93"/>
      <c r="K170" s="93"/>
      <c r="L170" s="92"/>
      <c r="M170" s="93"/>
      <c r="N170" s="93"/>
    </row>
    <row r="171" spans="1:14" x14ac:dyDescent="0.25">
      <c r="A171" s="90"/>
      <c r="B171" s="90"/>
      <c r="C171" s="90"/>
      <c r="D171" s="91"/>
      <c r="E171" s="90"/>
      <c r="F171" s="90"/>
      <c r="G171" s="92"/>
      <c r="H171" s="92"/>
      <c r="I171" s="93"/>
      <c r="J171" s="93"/>
      <c r="K171" s="93"/>
      <c r="L171" s="92"/>
      <c r="M171" s="93"/>
      <c r="N171" s="93"/>
    </row>
    <row r="172" spans="1:14" x14ac:dyDescent="0.25">
      <c r="A172" s="90"/>
      <c r="B172" s="90"/>
      <c r="C172" s="90"/>
      <c r="D172" s="91"/>
      <c r="E172" s="90"/>
      <c r="F172" s="90"/>
      <c r="G172" s="92"/>
      <c r="H172" s="92"/>
      <c r="I172" s="93"/>
      <c r="J172" s="93"/>
      <c r="K172" s="93"/>
      <c r="L172" s="92"/>
      <c r="M172" s="93"/>
      <c r="N172" s="93"/>
    </row>
    <row r="173" spans="1:14" x14ac:dyDescent="0.25">
      <c r="A173" s="90"/>
      <c r="B173" s="90"/>
      <c r="C173" s="90"/>
      <c r="D173" s="91"/>
      <c r="E173" s="90"/>
      <c r="F173" s="90"/>
      <c r="G173" s="92"/>
      <c r="H173" s="92"/>
      <c r="I173" s="93"/>
      <c r="J173" s="93"/>
      <c r="K173" s="93"/>
      <c r="L173" s="92"/>
      <c r="M173" s="93"/>
      <c r="N173" s="93"/>
    </row>
    <row r="174" spans="1:14" x14ac:dyDescent="0.25">
      <c r="A174" s="90"/>
      <c r="B174" s="90"/>
      <c r="C174" s="90"/>
      <c r="D174" s="91"/>
      <c r="E174" s="90"/>
      <c r="F174" s="90"/>
      <c r="G174" s="92"/>
      <c r="H174" s="92"/>
      <c r="I174" s="93"/>
      <c r="J174" s="93"/>
      <c r="K174" s="93"/>
      <c r="L174" s="92"/>
      <c r="M174" s="93"/>
      <c r="N174" s="93"/>
    </row>
    <row r="175" spans="1:14" x14ac:dyDescent="0.25">
      <c r="A175" s="90"/>
      <c r="B175" s="90"/>
      <c r="C175" s="90"/>
      <c r="D175" s="91"/>
      <c r="E175" s="90"/>
      <c r="F175" s="90"/>
      <c r="G175" s="92"/>
      <c r="H175" s="92"/>
      <c r="I175" s="93"/>
      <c r="J175" s="93"/>
      <c r="K175" s="93"/>
      <c r="L175" s="92"/>
      <c r="M175" s="93"/>
      <c r="N175" s="93"/>
    </row>
    <row r="176" spans="1:14" x14ac:dyDescent="0.25">
      <c r="A176" s="90"/>
      <c r="B176" s="90"/>
      <c r="C176" s="90"/>
      <c r="D176" s="91"/>
      <c r="E176" s="90"/>
      <c r="F176" s="90"/>
      <c r="G176" s="92"/>
      <c r="H176" s="92"/>
      <c r="I176" s="93"/>
      <c r="J176" s="93"/>
      <c r="K176" s="93"/>
      <c r="L176" s="92"/>
      <c r="M176" s="93"/>
      <c r="N176" s="93"/>
    </row>
    <row r="177" spans="1:14" x14ac:dyDescent="0.25">
      <c r="A177" s="90"/>
      <c r="B177" s="90"/>
      <c r="C177" s="90"/>
      <c r="D177" s="91"/>
      <c r="E177" s="90"/>
      <c r="F177" s="90"/>
      <c r="G177" s="92"/>
      <c r="H177" s="92"/>
      <c r="I177" s="93"/>
      <c r="J177" s="93"/>
      <c r="K177" s="93"/>
      <c r="L177" s="92"/>
      <c r="M177" s="93"/>
      <c r="N177" s="93"/>
    </row>
    <row r="178" spans="1:14" x14ac:dyDescent="0.25">
      <c r="A178" s="90"/>
      <c r="B178" s="90"/>
      <c r="C178" s="90"/>
      <c r="D178" s="91"/>
      <c r="E178" s="90"/>
      <c r="F178" s="90"/>
      <c r="G178" s="92"/>
      <c r="H178" s="92"/>
      <c r="I178" s="93"/>
      <c r="J178" s="93"/>
      <c r="K178" s="93"/>
      <c r="L178" s="92"/>
      <c r="M178" s="93"/>
      <c r="N178" s="93"/>
    </row>
    <row r="179" spans="1:14" x14ac:dyDescent="0.25">
      <c r="A179" s="90"/>
      <c r="B179" s="90"/>
      <c r="C179" s="90"/>
      <c r="D179" s="91"/>
      <c r="E179" s="90"/>
      <c r="F179" s="90"/>
      <c r="G179" s="92"/>
      <c r="H179" s="92"/>
      <c r="I179" s="93"/>
      <c r="J179" s="93"/>
      <c r="K179" s="93"/>
      <c r="L179" s="92"/>
      <c r="M179" s="93"/>
      <c r="N179" s="93"/>
    </row>
    <row r="180" spans="1:14" x14ac:dyDescent="0.25">
      <c r="A180" s="90"/>
      <c r="B180" s="90"/>
      <c r="C180" s="90"/>
      <c r="D180" s="91"/>
      <c r="E180" s="90"/>
      <c r="F180" s="90"/>
      <c r="G180" s="92"/>
      <c r="H180" s="92"/>
      <c r="I180" s="93"/>
      <c r="J180" s="93"/>
      <c r="K180" s="93"/>
      <c r="L180" s="92"/>
      <c r="M180" s="93"/>
      <c r="N180" s="93"/>
    </row>
    <row r="181" spans="1:14" x14ac:dyDescent="0.25">
      <c r="A181" s="90"/>
      <c r="B181" s="90"/>
      <c r="C181" s="90"/>
      <c r="D181" s="91"/>
      <c r="E181" s="90"/>
      <c r="F181" s="90"/>
      <c r="G181" s="92"/>
      <c r="H181" s="92"/>
      <c r="I181" s="93"/>
      <c r="J181" s="93"/>
      <c r="K181" s="93"/>
      <c r="L181" s="92"/>
      <c r="M181" s="93"/>
      <c r="N181" s="93"/>
    </row>
    <row r="182" spans="1:14" x14ac:dyDescent="0.25">
      <c r="A182" s="90"/>
      <c r="B182" s="90"/>
      <c r="C182" s="90"/>
      <c r="D182" s="91"/>
      <c r="E182" s="90"/>
      <c r="F182" s="90"/>
      <c r="G182" s="92"/>
      <c r="H182" s="92"/>
      <c r="I182" s="93"/>
      <c r="J182" s="93"/>
      <c r="K182" s="93"/>
      <c r="L182" s="92"/>
      <c r="M182" s="93"/>
      <c r="N182" s="93"/>
    </row>
    <row r="183" spans="1:14" x14ac:dyDescent="0.25">
      <c r="A183" s="90"/>
      <c r="B183" s="90"/>
      <c r="C183" s="90"/>
      <c r="D183" s="91"/>
      <c r="E183" s="90"/>
      <c r="F183" s="90"/>
      <c r="G183" s="92"/>
      <c r="H183" s="92"/>
      <c r="I183" s="93"/>
      <c r="J183" s="93"/>
      <c r="K183" s="93"/>
      <c r="L183" s="92"/>
      <c r="M183" s="93"/>
      <c r="N183" s="93"/>
    </row>
    <row r="184" spans="1:14" x14ac:dyDescent="0.25">
      <c r="A184" s="90"/>
      <c r="B184" s="90"/>
      <c r="C184" s="90"/>
      <c r="D184" s="91"/>
      <c r="E184" s="90"/>
      <c r="F184" s="90"/>
      <c r="G184" s="92"/>
      <c r="H184" s="92"/>
      <c r="I184" s="93"/>
      <c r="J184" s="93"/>
      <c r="K184" s="93"/>
      <c r="L184" s="92"/>
      <c r="M184" s="93"/>
      <c r="N184" s="93"/>
    </row>
    <row r="185" spans="1:14" x14ac:dyDescent="0.25">
      <c r="A185" s="90"/>
      <c r="B185" s="90"/>
      <c r="C185" s="90"/>
      <c r="D185" s="91"/>
      <c r="E185" s="90"/>
      <c r="F185" s="90"/>
      <c r="G185" s="92"/>
      <c r="H185" s="92"/>
      <c r="I185" s="93"/>
      <c r="J185" s="93"/>
      <c r="K185" s="93"/>
      <c r="L185" s="92"/>
      <c r="M185" s="93"/>
      <c r="N185" s="93"/>
    </row>
    <row r="186" spans="1:14" x14ac:dyDescent="0.25">
      <c r="A186" s="90"/>
      <c r="B186" s="90"/>
      <c r="C186" s="90"/>
      <c r="D186" s="91"/>
      <c r="E186" s="90"/>
      <c r="F186" s="90"/>
      <c r="G186" s="92"/>
      <c r="H186" s="92"/>
      <c r="I186" s="93"/>
      <c r="J186" s="93"/>
      <c r="K186" s="93"/>
      <c r="L186" s="92"/>
      <c r="M186" s="93"/>
      <c r="N186" s="93"/>
    </row>
    <row r="187" spans="1:14" x14ac:dyDescent="0.25">
      <c r="A187" s="90"/>
      <c r="B187" s="90"/>
      <c r="C187" s="90"/>
      <c r="D187" s="91"/>
      <c r="E187" s="90"/>
      <c r="F187" s="90"/>
      <c r="G187" s="92"/>
      <c r="H187" s="92"/>
      <c r="I187" s="93"/>
      <c r="J187" s="93"/>
      <c r="K187" s="93"/>
      <c r="L187" s="92"/>
      <c r="M187" s="93"/>
      <c r="N187" s="93"/>
    </row>
    <row r="188" spans="1:14" x14ac:dyDescent="0.25">
      <c r="A188" s="90"/>
      <c r="B188" s="90"/>
      <c r="C188" s="90"/>
      <c r="D188" s="91"/>
      <c r="E188" s="90"/>
      <c r="F188" s="90"/>
      <c r="G188" s="92"/>
      <c r="H188" s="92"/>
      <c r="I188" s="93"/>
      <c r="J188" s="93"/>
      <c r="K188" s="93"/>
      <c r="L188" s="92"/>
      <c r="M188" s="93"/>
      <c r="N188" s="93"/>
    </row>
    <row r="189" spans="1:14" x14ac:dyDescent="0.25">
      <c r="A189" s="90"/>
      <c r="B189" s="90"/>
      <c r="C189" s="90"/>
      <c r="D189" s="91"/>
      <c r="E189" s="90"/>
      <c r="F189" s="90"/>
      <c r="G189" s="92"/>
      <c r="H189" s="92"/>
      <c r="I189" s="93"/>
      <c r="J189" s="93"/>
      <c r="K189" s="93"/>
      <c r="L189" s="92"/>
      <c r="M189" s="93"/>
      <c r="N189" s="93"/>
    </row>
    <row r="190" spans="1:14" x14ac:dyDescent="0.25">
      <c r="A190" s="90"/>
      <c r="B190" s="90"/>
      <c r="C190" s="90"/>
      <c r="D190" s="91"/>
      <c r="E190" s="90"/>
      <c r="F190" s="90"/>
      <c r="G190" s="92"/>
      <c r="H190" s="92"/>
      <c r="I190" s="93"/>
      <c r="J190" s="93"/>
      <c r="K190" s="93"/>
      <c r="L190" s="92"/>
      <c r="M190" s="93"/>
      <c r="N190" s="93"/>
    </row>
    <row r="191" spans="1:14" x14ac:dyDescent="0.25">
      <c r="A191" s="90"/>
      <c r="B191" s="90"/>
      <c r="C191" s="90"/>
      <c r="D191" s="91"/>
      <c r="E191" s="90"/>
      <c r="F191" s="90"/>
      <c r="G191" s="92"/>
      <c r="H191" s="92"/>
      <c r="I191" s="93"/>
      <c r="J191" s="93"/>
      <c r="K191" s="93"/>
      <c r="L191" s="92"/>
      <c r="M191" s="93"/>
      <c r="N191" s="93"/>
    </row>
    <row r="192" spans="1:14" x14ac:dyDescent="0.25">
      <c r="A192" s="90"/>
      <c r="B192" s="90"/>
      <c r="C192" s="90"/>
      <c r="D192" s="91"/>
      <c r="E192" s="90"/>
      <c r="F192" s="90"/>
      <c r="G192" s="92"/>
      <c r="H192" s="92"/>
      <c r="I192" s="93"/>
      <c r="J192" s="93"/>
      <c r="K192" s="93"/>
      <c r="L192" s="92"/>
      <c r="M192" s="93"/>
      <c r="N192" s="93"/>
    </row>
    <row r="193" spans="1:14" x14ac:dyDescent="0.25">
      <c r="A193" s="90"/>
      <c r="B193" s="90"/>
      <c r="C193" s="90"/>
      <c r="D193" s="91"/>
      <c r="E193" s="90"/>
      <c r="F193" s="90"/>
      <c r="G193" s="92"/>
      <c r="H193" s="92"/>
      <c r="I193" s="93"/>
      <c r="J193" s="93"/>
      <c r="K193" s="93"/>
      <c r="L193" s="92"/>
      <c r="M193" s="93"/>
      <c r="N193" s="93"/>
    </row>
    <row r="194" spans="1:14" x14ac:dyDescent="0.25">
      <c r="A194" s="90"/>
      <c r="B194" s="90"/>
      <c r="C194" s="90"/>
      <c r="D194" s="91"/>
      <c r="E194" s="90"/>
      <c r="F194" s="90"/>
      <c r="G194" s="92"/>
      <c r="H194" s="92"/>
      <c r="I194" s="93"/>
      <c r="J194" s="93"/>
      <c r="K194" s="93"/>
      <c r="L194" s="92"/>
      <c r="M194" s="93"/>
      <c r="N194" s="93"/>
    </row>
    <row r="195" spans="1:14" x14ac:dyDescent="0.25">
      <c r="A195" s="90"/>
      <c r="B195" s="90"/>
      <c r="C195" s="90"/>
      <c r="D195" s="91"/>
      <c r="E195" s="90"/>
      <c r="F195" s="90"/>
      <c r="G195" s="92"/>
      <c r="H195" s="92"/>
      <c r="I195" s="93"/>
      <c r="J195" s="93"/>
      <c r="K195" s="93"/>
      <c r="L195" s="92"/>
      <c r="M195" s="93"/>
      <c r="N195" s="93"/>
    </row>
    <row r="196" spans="1:14" x14ac:dyDescent="0.25">
      <c r="A196" s="90"/>
      <c r="B196" s="90"/>
      <c r="C196" s="90"/>
      <c r="D196" s="91"/>
      <c r="E196" s="90"/>
      <c r="F196" s="90"/>
      <c r="G196" s="92"/>
      <c r="H196" s="92"/>
      <c r="I196" s="93"/>
      <c r="J196" s="93"/>
      <c r="K196" s="93"/>
      <c r="L196" s="92"/>
      <c r="M196" s="93"/>
      <c r="N196" s="93"/>
    </row>
    <row r="197" spans="1:14" x14ac:dyDescent="0.25">
      <c r="A197" s="90"/>
      <c r="B197" s="90"/>
      <c r="C197" s="90"/>
      <c r="D197" s="91"/>
      <c r="E197" s="90"/>
      <c r="F197" s="90"/>
      <c r="G197" s="92"/>
      <c r="H197" s="92"/>
      <c r="I197" s="93"/>
      <c r="J197" s="93"/>
      <c r="K197" s="93"/>
      <c r="L197" s="92"/>
      <c r="M197" s="93"/>
      <c r="N197" s="93"/>
    </row>
    <row r="198" spans="1:14" x14ac:dyDescent="0.25">
      <c r="A198" s="90"/>
      <c r="B198" s="90"/>
      <c r="C198" s="90"/>
      <c r="D198" s="91"/>
      <c r="E198" s="90"/>
      <c r="F198" s="90"/>
      <c r="G198" s="92"/>
      <c r="H198" s="92"/>
      <c r="I198" s="93"/>
      <c r="J198" s="93"/>
      <c r="K198" s="93"/>
      <c r="L198" s="92"/>
      <c r="M198" s="93"/>
      <c r="N198" s="93"/>
    </row>
    <row r="199" spans="1:14" x14ac:dyDescent="0.25">
      <c r="A199" s="90"/>
      <c r="B199" s="90"/>
      <c r="C199" s="90"/>
      <c r="D199" s="91"/>
      <c r="E199" s="90"/>
      <c r="F199" s="90"/>
      <c r="G199" s="92"/>
      <c r="H199" s="92"/>
      <c r="I199" s="93"/>
      <c r="J199" s="93"/>
      <c r="K199" s="93"/>
      <c r="L199" s="92"/>
      <c r="M199" s="93"/>
      <c r="N199" s="93"/>
    </row>
    <row r="200" spans="1:14" x14ac:dyDescent="0.25">
      <c r="A200" s="90"/>
      <c r="B200" s="90"/>
      <c r="C200" s="90"/>
      <c r="D200" s="91"/>
      <c r="E200" s="90"/>
      <c r="F200" s="90"/>
      <c r="G200" s="92"/>
      <c r="H200" s="92"/>
      <c r="I200" s="93"/>
      <c r="J200" s="93"/>
      <c r="K200" s="93"/>
      <c r="L200" s="92"/>
      <c r="M200" s="93"/>
      <c r="N200" s="93"/>
    </row>
    <row r="201" spans="1:14" x14ac:dyDescent="0.25">
      <c r="A201" s="90"/>
      <c r="B201" s="90"/>
      <c r="C201" s="90"/>
      <c r="D201" s="91"/>
      <c r="E201" s="90"/>
      <c r="F201" s="90"/>
      <c r="G201" s="92"/>
      <c r="H201" s="92"/>
      <c r="I201" s="93"/>
      <c r="J201" s="93"/>
      <c r="K201" s="93"/>
      <c r="L201" s="92"/>
      <c r="M201" s="93"/>
      <c r="N201" s="93"/>
    </row>
    <row r="202" spans="1:14" x14ac:dyDescent="0.25">
      <c r="A202" s="90"/>
      <c r="B202" s="90"/>
      <c r="C202" s="90"/>
      <c r="D202" s="91"/>
      <c r="E202" s="90"/>
      <c r="F202" s="90"/>
      <c r="G202" s="92"/>
      <c r="H202" s="92"/>
      <c r="I202" s="93"/>
      <c r="J202" s="93"/>
      <c r="K202" s="93"/>
      <c r="L202" s="92"/>
      <c r="M202" s="93"/>
      <c r="N202" s="93"/>
    </row>
    <row r="203" spans="1:14" x14ac:dyDescent="0.25">
      <c r="A203" s="90"/>
      <c r="B203" s="90"/>
      <c r="C203" s="90"/>
      <c r="D203" s="91"/>
      <c r="E203" s="90"/>
      <c r="F203" s="90"/>
      <c r="G203" s="92"/>
      <c r="H203" s="92"/>
      <c r="I203" s="93"/>
      <c r="J203" s="93"/>
      <c r="K203" s="93"/>
      <c r="L203" s="92"/>
      <c r="M203" s="93"/>
      <c r="N203" s="93"/>
    </row>
    <row r="204" spans="1:14" x14ac:dyDescent="0.25">
      <c r="A204" s="90"/>
      <c r="B204" s="90"/>
      <c r="C204" s="90"/>
      <c r="D204" s="91"/>
      <c r="E204" s="90"/>
      <c r="F204" s="90"/>
      <c r="G204" s="92"/>
      <c r="H204" s="92"/>
      <c r="I204" s="93"/>
      <c r="J204" s="93"/>
      <c r="K204" s="93"/>
      <c r="L204" s="92"/>
      <c r="M204" s="93"/>
      <c r="N204" s="93"/>
    </row>
    <row r="205" spans="1:14" x14ac:dyDescent="0.25">
      <c r="A205" s="90"/>
      <c r="B205" s="90"/>
      <c r="C205" s="90"/>
      <c r="D205" s="91"/>
      <c r="E205" s="90"/>
      <c r="F205" s="90"/>
      <c r="G205" s="92"/>
      <c r="H205" s="92"/>
      <c r="I205" s="93"/>
      <c r="J205" s="93"/>
      <c r="K205" s="93"/>
      <c r="L205" s="92"/>
      <c r="M205" s="93"/>
      <c r="N205" s="93"/>
    </row>
    <row r="206" spans="1:14" x14ac:dyDescent="0.25">
      <c r="A206" s="90"/>
      <c r="B206" s="90"/>
      <c r="C206" s="90"/>
      <c r="D206" s="91"/>
      <c r="E206" s="90"/>
      <c r="F206" s="90"/>
      <c r="G206" s="92"/>
      <c r="H206" s="92"/>
      <c r="I206" s="93"/>
      <c r="J206" s="93"/>
      <c r="K206" s="93"/>
      <c r="L206" s="92"/>
      <c r="M206" s="93"/>
      <c r="N206" s="93"/>
    </row>
    <row r="207" spans="1:14" x14ac:dyDescent="0.25">
      <c r="A207" s="90"/>
      <c r="B207" s="90"/>
      <c r="C207" s="90"/>
      <c r="D207" s="91"/>
      <c r="E207" s="90"/>
      <c r="F207" s="90"/>
      <c r="G207" s="92"/>
      <c r="H207" s="92"/>
      <c r="I207" s="93"/>
      <c r="J207" s="93"/>
      <c r="K207" s="93"/>
      <c r="L207" s="92"/>
      <c r="M207" s="93"/>
      <c r="N207" s="93"/>
    </row>
    <row r="208" spans="1:14" x14ac:dyDescent="0.25">
      <c r="A208" s="90"/>
      <c r="B208" s="90"/>
      <c r="C208" s="90"/>
      <c r="D208" s="91"/>
      <c r="E208" s="90"/>
      <c r="F208" s="90"/>
      <c r="G208" s="92"/>
      <c r="H208" s="92"/>
      <c r="I208" s="93"/>
      <c r="J208" s="93"/>
      <c r="K208" s="93"/>
      <c r="L208" s="92"/>
      <c r="M208" s="93"/>
      <c r="N208" s="93"/>
    </row>
    <row r="209" spans="1:14" x14ac:dyDescent="0.25">
      <c r="A209" s="90"/>
      <c r="B209" s="90"/>
      <c r="C209" s="90"/>
      <c r="D209" s="91"/>
      <c r="E209" s="90"/>
      <c r="F209" s="90"/>
      <c r="G209" s="92"/>
      <c r="H209" s="92"/>
      <c r="I209" s="93"/>
      <c r="J209" s="93"/>
      <c r="K209" s="93"/>
      <c r="L209" s="92"/>
      <c r="M209" s="93"/>
      <c r="N209" s="93"/>
    </row>
    <row r="210" spans="1:14" x14ac:dyDescent="0.25">
      <c r="A210" s="90"/>
      <c r="B210" s="90"/>
      <c r="C210" s="90"/>
      <c r="D210" s="91"/>
      <c r="E210" s="90"/>
      <c r="F210" s="90"/>
      <c r="G210" s="92"/>
      <c r="H210" s="92"/>
      <c r="I210" s="93"/>
      <c r="J210" s="93"/>
      <c r="K210" s="93"/>
      <c r="L210" s="92"/>
      <c r="M210" s="93"/>
      <c r="N210" s="93"/>
    </row>
    <row r="211" spans="1:14" x14ac:dyDescent="0.25">
      <c r="A211" s="90"/>
      <c r="B211" s="90"/>
      <c r="C211" s="90"/>
      <c r="D211" s="91"/>
      <c r="E211" s="90"/>
      <c r="F211" s="90"/>
      <c r="G211" s="92"/>
      <c r="H211" s="92"/>
      <c r="I211" s="93"/>
      <c r="J211" s="93"/>
      <c r="K211" s="93"/>
      <c r="L211" s="92"/>
      <c r="M211" s="93"/>
      <c r="N211" s="93"/>
    </row>
    <row r="212" spans="1:14" x14ac:dyDescent="0.25">
      <c r="A212" s="90"/>
      <c r="B212" s="90"/>
      <c r="C212" s="90"/>
      <c r="D212" s="91"/>
      <c r="E212" s="90"/>
      <c r="F212" s="90"/>
      <c r="G212" s="92"/>
      <c r="H212" s="92"/>
      <c r="I212" s="93"/>
      <c r="J212" s="93"/>
      <c r="K212" s="93"/>
      <c r="L212" s="92"/>
      <c r="M212" s="93"/>
      <c r="N212" s="93"/>
    </row>
    <row r="213" spans="1:14" x14ac:dyDescent="0.25">
      <c r="A213" s="90"/>
      <c r="B213" s="90"/>
      <c r="C213" s="90"/>
      <c r="D213" s="91"/>
      <c r="E213" s="90"/>
      <c r="F213" s="90"/>
      <c r="G213" s="92"/>
      <c r="H213" s="92"/>
      <c r="I213" s="93"/>
      <c r="J213" s="93"/>
      <c r="K213" s="93"/>
      <c r="L213" s="92"/>
      <c r="M213" s="93"/>
      <c r="N213" s="93"/>
    </row>
    <row r="214" spans="1:14" x14ac:dyDescent="0.25">
      <c r="A214" s="90"/>
      <c r="B214" s="90"/>
      <c r="C214" s="90"/>
      <c r="D214" s="91"/>
      <c r="E214" s="90"/>
      <c r="F214" s="90"/>
      <c r="G214" s="92"/>
      <c r="H214" s="92"/>
      <c r="I214" s="93"/>
      <c r="J214" s="93"/>
      <c r="K214" s="93"/>
      <c r="L214" s="92"/>
      <c r="M214" s="93"/>
      <c r="N214" s="93"/>
    </row>
    <row r="215" spans="1:14" x14ac:dyDescent="0.25">
      <c r="A215" s="90"/>
      <c r="B215" s="90"/>
      <c r="C215" s="90"/>
      <c r="D215" s="91"/>
      <c r="E215" s="90"/>
      <c r="F215" s="90"/>
      <c r="G215" s="92"/>
      <c r="H215" s="92"/>
      <c r="I215" s="93"/>
      <c r="J215" s="93"/>
      <c r="K215" s="93"/>
      <c r="L215" s="92"/>
      <c r="M215" s="93"/>
      <c r="N215" s="93"/>
    </row>
    <row r="216" spans="1:14" x14ac:dyDescent="0.25">
      <c r="A216" s="90"/>
      <c r="B216" s="90"/>
      <c r="C216" s="90"/>
      <c r="D216" s="91"/>
      <c r="E216" s="90"/>
      <c r="F216" s="90"/>
      <c r="G216" s="92"/>
      <c r="H216" s="92"/>
      <c r="I216" s="93"/>
      <c r="J216" s="93"/>
      <c r="K216" s="93"/>
      <c r="L216" s="92"/>
      <c r="M216" s="93"/>
      <c r="N216" s="93"/>
    </row>
    <row r="217" spans="1:14" x14ac:dyDescent="0.25">
      <c r="A217" s="90"/>
      <c r="B217" s="90"/>
      <c r="C217" s="90"/>
      <c r="D217" s="91"/>
      <c r="E217" s="90"/>
      <c r="F217" s="90"/>
      <c r="G217" s="92"/>
      <c r="H217" s="92"/>
      <c r="I217" s="93"/>
      <c r="J217" s="93"/>
      <c r="K217" s="93"/>
      <c r="L217" s="92"/>
      <c r="M217" s="93"/>
      <c r="N217" s="93"/>
    </row>
    <row r="218" spans="1:14" x14ac:dyDescent="0.25">
      <c r="A218" s="90"/>
      <c r="B218" s="90"/>
      <c r="C218" s="90"/>
      <c r="D218" s="91"/>
      <c r="E218" s="90"/>
      <c r="F218" s="90"/>
      <c r="G218" s="92"/>
      <c r="H218" s="92"/>
      <c r="I218" s="93"/>
      <c r="J218" s="93"/>
      <c r="K218" s="93"/>
      <c r="L218" s="92"/>
      <c r="M218" s="93"/>
      <c r="N218" s="93"/>
    </row>
    <row r="219" spans="1:14" x14ac:dyDescent="0.25">
      <c r="A219" s="90"/>
      <c r="B219" s="90"/>
      <c r="C219" s="90"/>
      <c r="D219" s="91"/>
      <c r="E219" s="90"/>
      <c r="F219" s="90"/>
      <c r="G219" s="92"/>
      <c r="H219" s="92"/>
      <c r="I219" s="93"/>
      <c r="J219" s="93"/>
      <c r="K219" s="93"/>
      <c r="L219" s="92"/>
      <c r="M219" s="93"/>
      <c r="N219" s="93"/>
    </row>
    <row r="220" spans="1:14" x14ac:dyDescent="0.25">
      <c r="A220" s="90"/>
      <c r="B220" s="90"/>
      <c r="C220" s="90"/>
      <c r="D220" s="91"/>
      <c r="E220" s="90"/>
      <c r="F220" s="90"/>
      <c r="G220" s="92"/>
      <c r="H220" s="92"/>
      <c r="I220" s="93"/>
      <c r="J220" s="93"/>
      <c r="K220" s="93"/>
      <c r="L220" s="92"/>
      <c r="M220" s="93"/>
      <c r="N220" s="93"/>
    </row>
    <row r="221" spans="1:14" x14ac:dyDescent="0.25">
      <c r="A221" s="90"/>
      <c r="B221" s="90"/>
      <c r="C221" s="90"/>
      <c r="D221" s="91"/>
      <c r="E221" s="90"/>
      <c r="F221" s="90"/>
      <c r="G221" s="92"/>
      <c r="H221" s="92"/>
      <c r="I221" s="93"/>
      <c r="J221" s="93"/>
      <c r="K221" s="93"/>
      <c r="L221" s="92"/>
      <c r="M221" s="93"/>
      <c r="N221" s="93"/>
    </row>
    <row r="222" spans="1:14" x14ac:dyDescent="0.25">
      <c r="A222" s="90"/>
      <c r="B222" s="90"/>
      <c r="C222" s="90"/>
      <c r="D222" s="91"/>
      <c r="E222" s="90"/>
      <c r="F222" s="90"/>
      <c r="G222" s="92"/>
      <c r="H222" s="92"/>
      <c r="I222" s="93"/>
      <c r="J222" s="93"/>
      <c r="K222" s="93"/>
      <c r="L222" s="92"/>
      <c r="M222" s="93"/>
      <c r="N222" s="93"/>
    </row>
    <row r="223" spans="1:14" x14ac:dyDescent="0.25">
      <c r="A223" s="90"/>
      <c r="B223" s="90"/>
      <c r="C223" s="90"/>
      <c r="D223" s="91"/>
      <c r="E223" s="90"/>
      <c r="F223" s="90"/>
      <c r="G223" s="92"/>
      <c r="H223" s="92"/>
      <c r="I223" s="93"/>
      <c r="J223" s="93"/>
      <c r="K223" s="93"/>
      <c r="L223" s="92"/>
      <c r="M223" s="93"/>
      <c r="N223" s="93"/>
    </row>
    <row r="224" spans="1:14" x14ac:dyDescent="0.25">
      <c r="A224" s="90"/>
      <c r="B224" s="90"/>
      <c r="C224" s="90"/>
      <c r="D224" s="91"/>
      <c r="E224" s="90"/>
      <c r="F224" s="90"/>
      <c r="G224" s="92"/>
      <c r="H224" s="92"/>
      <c r="I224" s="93"/>
      <c r="J224" s="93"/>
      <c r="K224" s="93"/>
      <c r="L224" s="92"/>
      <c r="M224" s="93"/>
      <c r="N224" s="93"/>
    </row>
    <row r="225" spans="1:14" x14ac:dyDescent="0.25">
      <c r="A225" s="90"/>
      <c r="B225" s="90"/>
      <c r="C225" s="90"/>
      <c r="D225" s="91"/>
      <c r="E225" s="90"/>
      <c r="F225" s="90"/>
      <c r="G225" s="92"/>
      <c r="H225" s="92"/>
      <c r="I225" s="93"/>
      <c r="J225" s="93"/>
      <c r="K225" s="93"/>
      <c r="L225" s="92"/>
      <c r="M225" s="93"/>
      <c r="N225" s="93"/>
    </row>
    <row r="226" spans="1:14" x14ac:dyDescent="0.25">
      <c r="A226" s="90"/>
      <c r="B226" s="90"/>
      <c r="C226" s="90"/>
      <c r="D226" s="91"/>
      <c r="E226" s="90"/>
      <c r="F226" s="90"/>
      <c r="G226" s="92"/>
      <c r="H226" s="92"/>
      <c r="I226" s="93"/>
      <c r="J226" s="93"/>
      <c r="K226" s="93"/>
      <c r="L226" s="92"/>
      <c r="M226" s="93"/>
      <c r="N226" s="93"/>
    </row>
    <row r="227" spans="1:14" x14ac:dyDescent="0.25">
      <c r="A227" s="90"/>
      <c r="B227" s="90"/>
      <c r="C227" s="90"/>
      <c r="D227" s="91"/>
      <c r="E227" s="90"/>
      <c r="F227" s="90"/>
      <c r="G227" s="92"/>
      <c r="H227" s="92"/>
      <c r="I227" s="93"/>
      <c r="J227" s="93"/>
      <c r="K227" s="93"/>
      <c r="L227" s="92"/>
      <c r="M227" s="93"/>
      <c r="N227" s="93"/>
    </row>
    <row r="228" spans="1:14" x14ac:dyDescent="0.25">
      <c r="A228" s="90"/>
      <c r="B228" s="90"/>
      <c r="C228" s="90"/>
      <c r="D228" s="91"/>
      <c r="E228" s="90"/>
      <c r="F228" s="90"/>
      <c r="G228" s="92"/>
      <c r="H228" s="92"/>
      <c r="I228" s="93"/>
      <c r="J228" s="93"/>
      <c r="K228" s="93"/>
      <c r="L228" s="92"/>
      <c r="M228" s="93"/>
      <c r="N228" s="93"/>
    </row>
    <row r="229" spans="1:14" x14ac:dyDescent="0.25">
      <c r="A229" s="90"/>
      <c r="B229" s="90"/>
      <c r="C229" s="90"/>
      <c r="D229" s="91"/>
      <c r="E229" s="90"/>
      <c r="F229" s="90"/>
      <c r="G229" s="92"/>
      <c r="H229" s="92"/>
      <c r="I229" s="93"/>
      <c r="J229" s="93"/>
      <c r="K229" s="93"/>
      <c r="L229" s="92"/>
      <c r="M229" s="93"/>
      <c r="N229" s="93"/>
    </row>
    <row r="230" spans="1:14" x14ac:dyDescent="0.25">
      <c r="A230" s="90"/>
      <c r="B230" s="90"/>
      <c r="C230" s="90"/>
      <c r="D230" s="91"/>
      <c r="E230" s="90"/>
      <c r="F230" s="90"/>
      <c r="G230" s="92"/>
      <c r="H230" s="92"/>
      <c r="I230" s="93"/>
      <c r="J230" s="93"/>
      <c r="K230" s="93"/>
      <c r="L230" s="92"/>
      <c r="M230" s="93"/>
      <c r="N230" s="93"/>
    </row>
    <row r="231" spans="1:14" x14ac:dyDescent="0.25">
      <c r="A231" s="90"/>
      <c r="B231" s="90"/>
      <c r="C231" s="90"/>
      <c r="D231" s="91"/>
      <c r="E231" s="90"/>
      <c r="F231" s="90"/>
      <c r="G231" s="92"/>
      <c r="H231" s="92"/>
      <c r="I231" s="93"/>
      <c r="J231" s="93"/>
      <c r="K231" s="93"/>
      <c r="L231" s="92"/>
      <c r="M231" s="93"/>
      <c r="N231" s="93"/>
    </row>
    <row r="232" spans="1:14" x14ac:dyDescent="0.25">
      <c r="A232" s="90"/>
      <c r="B232" s="90"/>
      <c r="C232" s="90"/>
      <c r="D232" s="91"/>
      <c r="E232" s="90"/>
      <c r="F232" s="90"/>
      <c r="G232" s="92"/>
      <c r="H232" s="92"/>
      <c r="I232" s="93"/>
      <c r="J232" s="93"/>
      <c r="K232" s="93"/>
      <c r="L232" s="92"/>
      <c r="M232" s="93"/>
      <c r="N232" s="93"/>
    </row>
    <row r="233" spans="1:14" x14ac:dyDescent="0.25">
      <c r="A233" s="90"/>
      <c r="B233" s="90"/>
      <c r="C233" s="90"/>
      <c r="D233" s="91"/>
      <c r="E233" s="90"/>
      <c r="F233" s="90"/>
      <c r="G233" s="92"/>
      <c r="H233" s="92"/>
      <c r="I233" s="93"/>
      <c r="J233" s="93"/>
      <c r="K233" s="93"/>
      <c r="L233" s="92"/>
      <c r="M233" s="93"/>
      <c r="N233" s="93"/>
    </row>
    <row r="234" spans="1:14" x14ac:dyDescent="0.25">
      <c r="A234" s="90"/>
      <c r="B234" s="90"/>
      <c r="C234" s="90"/>
      <c r="D234" s="91"/>
      <c r="E234" s="90"/>
      <c r="F234" s="90"/>
      <c r="G234" s="92"/>
      <c r="H234" s="92"/>
      <c r="I234" s="93"/>
      <c r="J234" s="93"/>
      <c r="K234" s="93"/>
      <c r="L234" s="92"/>
      <c r="M234" s="93"/>
      <c r="N234" s="93"/>
    </row>
    <row r="235" spans="1:14" x14ac:dyDescent="0.25">
      <c r="A235" s="90"/>
      <c r="B235" s="90"/>
      <c r="C235" s="90"/>
      <c r="D235" s="91"/>
      <c r="E235" s="90"/>
      <c r="F235" s="90"/>
      <c r="G235" s="92"/>
      <c r="H235" s="92"/>
      <c r="I235" s="93"/>
      <c r="J235" s="93"/>
      <c r="K235" s="93"/>
      <c r="L235" s="92"/>
      <c r="M235" s="93"/>
      <c r="N235" s="93"/>
    </row>
    <row r="236" spans="1:14" x14ac:dyDescent="0.25">
      <c r="A236" s="90"/>
      <c r="B236" s="90"/>
      <c r="C236" s="90"/>
      <c r="D236" s="91"/>
      <c r="E236" s="90"/>
      <c r="F236" s="90"/>
      <c r="G236" s="92"/>
      <c r="H236" s="92"/>
      <c r="I236" s="93"/>
      <c r="J236" s="93"/>
      <c r="K236" s="93"/>
      <c r="L236" s="92"/>
      <c r="M236" s="93"/>
      <c r="N236" s="93"/>
    </row>
    <row r="237" spans="1:14" x14ac:dyDescent="0.25">
      <c r="A237" s="90"/>
      <c r="B237" s="90"/>
      <c r="C237" s="90"/>
      <c r="D237" s="91"/>
      <c r="E237" s="90"/>
      <c r="F237" s="90"/>
      <c r="G237" s="92"/>
      <c r="H237" s="92"/>
      <c r="I237" s="93"/>
      <c r="J237" s="93"/>
      <c r="K237" s="93"/>
      <c r="L237" s="92"/>
      <c r="M237" s="93"/>
      <c r="N237" s="93"/>
    </row>
    <row r="238" spans="1:14" x14ac:dyDescent="0.25">
      <c r="A238" s="90"/>
      <c r="B238" s="90"/>
      <c r="C238" s="90"/>
      <c r="D238" s="91"/>
      <c r="E238" s="90"/>
      <c r="F238" s="90"/>
      <c r="G238" s="92"/>
      <c r="H238" s="92"/>
      <c r="I238" s="93"/>
      <c r="J238" s="93"/>
      <c r="K238" s="93"/>
      <c r="L238" s="92"/>
      <c r="M238" s="93"/>
      <c r="N238" s="93"/>
    </row>
    <row r="239" spans="1:14" x14ac:dyDescent="0.25">
      <c r="A239" s="90"/>
      <c r="B239" s="90"/>
      <c r="C239" s="90"/>
      <c r="D239" s="91"/>
      <c r="E239" s="90"/>
      <c r="F239" s="90"/>
      <c r="G239" s="92"/>
      <c r="H239" s="92"/>
      <c r="I239" s="93"/>
      <c r="J239" s="93"/>
      <c r="K239" s="93"/>
      <c r="L239" s="92"/>
      <c r="M239" s="93"/>
      <c r="N239" s="93"/>
    </row>
    <row r="240" spans="1:14" x14ac:dyDescent="0.25">
      <c r="A240" s="90"/>
      <c r="B240" s="90"/>
      <c r="C240" s="90"/>
      <c r="D240" s="91"/>
      <c r="E240" s="90"/>
      <c r="F240" s="90"/>
      <c r="G240" s="92"/>
      <c r="H240" s="92"/>
      <c r="I240" s="93"/>
      <c r="J240" s="93"/>
      <c r="K240" s="93"/>
      <c r="L240" s="92"/>
      <c r="M240" s="93"/>
      <c r="N240" s="93"/>
    </row>
    <row r="241" spans="1:14" x14ac:dyDescent="0.25">
      <c r="A241" s="90"/>
      <c r="B241" s="90"/>
      <c r="C241" s="90"/>
      <c r="D241" s="91"/>
      <c r="E241" s="90"/>
      <c r="F241" s="90"/>
      <c r="G241" s="92"/>
      <c r="H241" s="92"/>
      <c r="I241" s="93"/>
      <c r="J241" s="93"/>
      <c r="K241" s="93"/>
      <c r="L241" s="92"/>
      <c r="M241" s="93"/>
      <c r="N241" s="93"/>
    </row>
    <row r="242" spans="1:14" x14ac:dyDescent="0.25">
      <c r="A242" s="90"/>
      <c r="B242" s="90"/>
      <c r="C242" s="90"/>
      <c r="D242" s="91"/>
      <c r="E242" s="90"/>
      <c r="F242" s="90"/>
      <c r="G242" s="92"/>
      <c r="H242" s="92"/>
      <c r="I242" s="93"/>
      <c r="J242" s="93"/>
      <c r="K242" s="93"/>
      <c r="L242" s="92"/>
      <c r="M242" s="93"/>
      <c r="N242" s="93"/>
    </row>
    <row r="243" spans="1:14" x14ac:dyDescent="0.25">
      <c r="A243" s="90"/>
      <c r="B243" s="90"/>
      <c r="C243" s="90"/>
      <c r="D243" s="91"/>
      <c r="E243" s="90"/>
      <c r="F243" s="90"/>
      <c r="G243" s="92"/>
      <c r="H243" s="92"/>
      <c r="I243" s="93"/>
      <c r="J243" s="93"/>
      <c r="K243" s="93"/>
      <c r="L243" s="92"/>
      <c r="M243" s="93"/>
      <c r="N243" s="93"/>
    </row>
    <row r="244" spans="1:14" x14ac:dyDescent="0.25">
      <c r="A244" s="90"/>
      <c r="B244" s="90"/>
      <c r="C244" s="90"/>
      <c r="D244" s="91"/>
      <c r="E244" s="90"/>
      <c r="F244" s="90"/>
      <c r="G244" s="92"/>
      <c r="H244" s="92"/>
      <c r="I244" s="93"/>
      <c r="J244" s="93"/>
      <c r="K244" s="93"/>
      <c r="L244" s="92"/>
      <c r="M244" s="93"/>
      <c r="N244" s="93"/>
    </row>
    <row r="245" spans="1:14" x14ac:dyDescent="0.25">
      <c r="A245" s="90"/>
      <c r="B245" s="90"/>
      <c r="C245" s="90"/>
      <c r="D245" s="91"/>
      <c r="E245" s="90"/>
      <c r="F245" s="90"/>
      <c r="G245" s="92"/>
      <c r="H245" s="92"/>
      <c r="I245" s="93"/>
      <c r="J245" s="93"/>
      <c r="K245" s="93"/>
      <c r="L245" s="92"/>
      <c r="M245" s="93"/>
      <c r="N245" s="93"/>
    </row>
    <row r="246" spans="1:14" x14ac:dyDescent="0.25">
      <c r="A246" s="90"/>
      <c r="B246" s="90"/>
      <c r="C246" s="90"/>
      <c r="D246" s="91"/>
      <c r="E246" s="90"/>
      <c r="F246" s="90"/>
      <c r="G246" s="92"/>
      <c r="H246" s="92"/>
      <c r="I246" s="93"/>
      <c r="J246" s="93"/>
      <c r="K246" s="93"/>
      <c r="L246" s="92"/>
      <c r="M246" s="93"/>
      <c r="N246" s="93"/>
    </row>
    <row r="247" spans="1:14" x14ac:dyDescent="0.25">
      <c r="A247" s="90"/>
      <c r="B247" s="90"/>
      <c r="C247" s="90"/>
      <c r="D247" s="91"/>
      <c r="E247" s="90"/>
      <c r="F247" s="90"/>
      <c r="G247" s="92"/>
      <c r="H247" s="92"/>
      <c r="I247" s="93"/>
      <c r="J247" s="93"/>
      <c r="K247" s="93"/>
      <c r="L247" s="92"/>
      <c r="M247" s="93"/>
      <c r="N247" s="93"/>
    </row>
    <row r="248" spans="1:14" x14ac:dyDescent="0.25">
      <c r="A248" s="90"/>
      <c r="B248" s="90"/>
      <c r="C248" s="90"/>
      <c r="D248" s="91"/>
      <c r="E248" s="90"/>
      <c r="F248" s="90"/>
      <c r="G248" s="92"/>
      <c r="H248" s="92"/>
      <c r="I248" s="93"/>
      <c r="J248" s="93"/>
      <c r="K248" s="93"/>
      <c r="L248" s="92"/>
      <c r="M248" s="93"/>
      <c r="N248" s="93"/>
    </row>
    <row r="249" spans="1:14" x14ac:dyDescent="0.25">
      <c r="A249" s="90"/>
      <c r="B249" s="90"/>
      <c r="C249" s="90"/>
      <c r="D249" s="91"/>
      <c r="E249" s="90"/>
      <c r="F249" s="90"/>
      <c r="G249" s="92"/>
      <c r="H249" s="92"/>
      <c r="I249" s="93"/>
      <c r="J249" s="93"/>
      <c r="K249" s="93"/>
      <c r="L249" s="92"/>
      <c r="M249" s="93"/>
      <c r="N249" s="93"/>
    </row>
    <row r="250" spans="1:14" x14ac:dyDescent="0.25">
      <c r="A250" s="90"/>
      <c r="B250" s="90"/>
      <c r="C250" s="90"/>
      <c r="D250" s="91"/>
      <c r="E250" s="90"/>
      <c r="F250" s="90"/>
      <c r="G250" s="92"/>
      <c r="H250" s="92"/>
      <c r="I250" s="93"/>
      <c r="J250" s="93"/>
      <c r="K250" s="93"/>
      <c r="L250" s="92"/>
      <c r="M250" s="93"/>
      <c r="N250" s="93"/>
    </row>
    <row r="251" spans="1:14" x14ac:dyDescent="0.25">
      <c r="A251" s="90"/>
      <c r="B251" s="90"/>
      <c r="C251" s="90"/>
      <c r="D251" s="91"/>
      <c r="E251" s="90"/>
      <c r="F251" s="90"/>
      <c r="G251" s="92"/>
      <c r="H251" s="92"/>
      <c r="I251" s="93"/>
      <c r="J251" s="93"/>
      <c r="K251" s="93"/>
      <c r="L251" s="92"/>
      <c r="M251" s="93"/>
      <c r="N251" s="93"/>
    </row>
    <row r="252" spans="1:14" x14ac:dyDescent="0.25">
      <c r="A252" s="90"/>
      <c r="B252" s="90"/>
      <c r="C252" s="90"/>
      <c r="D252" s="91"/>
      <c r="E252" s="90"/>
      <c r="F252" s="90"/>
      <c r="G252" s="92"/>
      <c r="H252" s="92"/>
      <c r="I252" s="93"/>
      <c r="J252" s="93"/>
      <c r="K252" s="93"/>
      <c r="L252" s="92"/>
      <c r="M252" s="93"/>
      <c r="N252" s="93"/>
    </row>
    <row r="253" spans="1:14" x14ac:dyDescent="0.25">
      <c r="A253" s="90"/>
      <c r="B253" s="90"/>
      <c r="C253" s="90"/>
      <c r="D253" s="91"/>
      <c r="E253" s="90"/>
      <c r="F253" s="90"/>
      <c r="G253" s="92"/>
      <c r="H253" s="92"/>
      <c r="I253" s="93"/>
      <c r="J253" s="93"/>
      <c r="K253" s="93"/>
      <c r="L253" s="92"/>
      <c r="M253" s="93"/>
      <c r="N253" s="93"/>
    </row>
    <row r="254" spans="1:14" x14ac:dyDescent="0.25">
      <c r="A254" s="90"/>
      <c r="B254" s="90"/>
      <c r="C254" s="90"/>
      <c r="D254" s="91"/>
      <c r="E254" s="90"/>
      <c r="F254" s="90"/>
      <c r="G254" s="92"/>
      <c r="H254" s="92"/>
      <c r="I254" s="93"/>
      <c r="J254" s="93"/>
      <c r="K254" s="93"/>
      <c r="L254" s="92"/>
      <c r="M254" s="93"/>
      <c r="N254" s="93"/>
    </row>
    <row r="255" spans="1:14" x14ac:dyDescent="0.25">
      <c r="A255" s="90"/>
      <c r="B255" s="90"/>
      <c r="C255" s="90"/>
      <c r="D255" s="91"/>
      <c r="E255" s="90"/>
      <c r="F255" s="90"/>
      <c r="G255" s="92"/>
      <c r="H255" s="92"/>
      <c r="I255" s="93"/>
      <c r="J255" s="93"/>
      <c r="K255" s="93"/>
      <c r="L255" s="92"/>
      <c r="M255" s="93"/>
      <c r="N255" s="93"/>
    </row>
    <row r="256" spans="1:14" x14ac:dyDescent="0.25">
      <c r="A256" s="90"/>
      <c r="B256" s="90"/>
      <c r="C256" s="90"/>
      <c r="D256" s="91"/>
      <c r="E256" s="90"/>
      <c r="F256" s="90"/>
      <c r="G256" s="92"/>
      <c r="H256" s="92"/>
      <c r="I256" s="93"/>
      <c r="J256" s="93"/>
      <c r="K256" s="93"/>
      <c r="L256" s="92"/>
      <c r="M256" s="93"/>
      <c r="N256" s="93"/>
    </row>
    <row r="257" spans="1:14" x14ac:dyDescent="0.25">
      <c r="A257" s="90"/>
      <c r="B257" s="90"/>
      <c r="C257" s="90"/>
      <c r="D257" s="91"/>
      <c r="E257" s="90"/>
      <c r="F257" s="90"/>
      <c r="G257" s="92"/>
      <c r="H257" s="92"/>
      <c r="I257" s="93"/>
      <c r="J257" s="93"/>
      <c r="K257" s="93"/>
      <c r="L257" s="92"/>
      <c r="M257" s="93"/>
      <c r="N257" s="93"/>
    </row>
    <row r="258" spans="1:14" x14ac:dyDescent="0.25">
      <c r="A258" s="90"/>
      <c r="B258" s="90"/>
      <c r="C258" s="90"/>
      <c r="D258" s="91"/>
      <c r="E258" s="90"/>
      <c r="F258" s="90"/>
      <c r="G258" s="92"/>
      <c r="H258" s="92"/>
      <c r="I258" s="93"/>
      <c r="J258" s="93"/>
      <c r="K258" s="93"/>
      <c r="L258" s="92"/>
      <c r="M258" s="93"/>
      <c r="N258" s="93"/>
    </row>
    <row r="259" spans="1:14" x14ac:dyDescent="0.25">
      <c r="A259" s="90"/>
      <c r="B259" s="90"/>
      <c r="C259" s="90"/>
      <c r="D259" s="91"/>
      <c r="E259" s="90"/>
      <c r="F259" s="90"/>
      <c r="G259" s="92"/>
      <c r="H259" s="92"/>
      <c r="I259" s="93"/>
      <c r="J259" s="93"/>
      <c r="K259" s="93"/>
      <c r="L259" s="92"/>
      <c r="M259" s="93"/>
      <c r="N259" s="93"/>
    </row>
    <row r="260" spans="1:14" x14ac:dyDescent="0.25">
      <c r="A260" s="90"/>
      <c r="B260" s="90"/>
      <c r="C260" s="90"/>
      <c r="D260" s="91"/>
      <c r="E260" s="90"/>
      <c r="F260" s="90"/>
      <c r="G260" s="92"/>
      <c r="H260" s="92"/>
      <c r="I260" s="93"/>
      <c r="J260" s="93"/>
      <c r="K260" s="93"/>
      <c r="L260" s="92"/>
      <c r="M260" s="93"/>
      <c r="N260" s="93"/>
    </row>
    <row r="261" spans="1:14" x14ac:dyDescent="0.25">
      <c r="A261" s="90"/>
      <c r="B261" s="90"/>
      <c r="C261" s="90"/>
      <c r="D261" s="91"/>
      <c r="E261" s="90"/>
      <c r="F261" s="90"/>
      <c r="G261" s="92"/>
      <c r="H261" s="92"/>
      <c r="I261" s="93"/>
      <c r="J261" s="93"/>
      <c r="K261" s="93"/>
      <c r="L261" s="92"/>
      <c r="M261" s="93"/>
      <c r="N261" s="93"/>
    </row>
    <row r="262" spans="1:14" x14ac:dyDescent="0.25">
      <c r="A262" s="90"/>
      <c r="B262" s="90"/>
      <c r="C262" s="90"/>
      <c r="D262" s="91"/>
      <c r="E262" s="90"/>
      <c r="F262" s="90"/>
      <c r="G262" s="92"/>
      <c r="H262" s="92"/>
      <c r="I262" s="93"/>
      <c r="J262" s="93"/>
      <c r="K262" s="93"/>
      <c r="L262" s="92"/>
      <c r="M262" s="93"/>
      <c r="N262" s="93"/>
    </row>
    <row r="263" spans="1:14" x14ac:dyDescent="0.25">
      <c r="A263" s="90"/>
      <c r="B263" s="90"/>
      <c r="C263" s="90"/>
      <c r="D263" s="91"/>
      <c r="E263" s="90"/>
      <c r="F263" s="90"/>
      <c r="G263" s="92"/>
      <c r="H263" s="92"/>
      <c r="I263" s="93"/>
      <c r="J263" s="93"/>
      <c r="K263" s="93"/>
      <c r="L263" s="92"/>
      <c r="M263" s="93"/>
      <c r="N263" s="93"/>
    </row>
    <row r="264" spans="1:14" x14ac:dyDescent="0.25">
      <c r="A264" s="90"/>
      <c r="B264" s="90"/>
      <c r="C264" s="90"/>
      <c r="D264" s="91"/>
      <c r="E264" s="90"/>
      <c r="F264" s="90"/>
      <c r="G264" s="92"/>
      <c r="H264" s="92"/>
      <c r="I264" s="93"/>
      <c r="J264" s="93"/>
      <c r="K264" s="93"/>
      <c r="L264" s="92"/>
      <c r="M264" s="93"/>
      <c r="N264" s="93"/>
    </row>
    <row r="265" spans="1:14" x14ac:dyDescent="0.25">
      <c r="A265" s="90"/>
      <c r="B265" s="90"/>
      <c r="C265" s="90"/>
      <c r="D265" s="91"/>
      <c r="E265" s="90"/>
      <c r="F265" s="90"/>
      <c r="G265" s="92"/>
      <c r="H265" s="92"/>
      <c r="I265" s="93"/>
      <c r="J265" s="93"/>
      <c r="K265" s="93"/>
      <c r="L265" s="92"/>
      <c r="M265" s="93"/>
      <c r="N265" s="93"/>
    </row>
    <row r="266" spans="1:14" x14ac:dyDescent="0.25">
      <c r="A266" s="90"/>
      <c r="B266" s="90"/>
      <c r="C266" s="90"/>
      <c r="D266" s="91"/>
      <c r="E266" s="90"/>
      <c r="F266" s="90"/>
      <c r="G266" s="92"/>
      <c r="H266" s="92"/>
      <c r="I266" s="93"/>
      <c r="J266" s="93"/>
      <c r="K266" s="93"/>
      <c r="L266" s="92"/>
      <c r="M266" s="93"/>
      <c r="N266" s="93"/>
    </row>
    <row r="267" spans="1:14" x14ac:dyDescent="0.25">
      <c r="A267" s="90"/>
      <c r="B267" s="90"/>
      <c r="C267" s="90"/>
      <c r="D267" s="91"/>
      <c r="E267" s="90"/>
      <c r="F267" s="90"/>
      <c r="G267" s="92"/>
      <c r="H267" s="92"/>
      <c r="I267" s="93"/>
      <c r="J267" s="93"/>
      <c r="K267" s="93"/>
      <c r="L267" s="92"/>
      <c r="M267" s="93"/>
      <c r="N267" s="93"/>
    </row>
    <row r="268" spans="1:14" x14ac:dyDescent="0.25">
      <c r="A268" s="90"/>
      <c r="B268" s="90"/>
      <c r="C268" s="90"/>
      <c r="D268" s="91"/>
      <c r="E268" s="90"/>
      <c r="F268" s="90"/>
      <c r="G268" s="92"/>
      <c r="H268" s="92"/>
      <c r="I268" s="93"/>
      <c r="J268" s="93"/>
      <c r="K268" s="93"/>
      <c r="L268" s="92"/>
      <c r="M268" s="93"/>
      <c r="N268" s="93"/>
    </row>
    <row r="269" spans="1:14" x14ac:dyDescent="0.25">
      <c r="A269" s="90"/>
      <c r="B269" s="90"/>
      <c r="C269" s="90"/>
      <c r="D269" s="91"/>
      <c r="E269" s="90"/>
      <c r="F269" s="90"/>
      <c r="G269" s="92"/>
      <c r="H269" s="92"/>
      <c r="I269" s="93"/>
      <c r="J269" s="93"/>
      <c r="K269" s="93"/>
      <c r="L269" s="92"/>
      <c r="M269" s="93"/>
      <c r="N269" s="93"/>
    </row>
    <row r="270" spans="1:14" x14ac:dyDescent="0.25">
      <c r="A270" s="90"/>
      <c r="B270" s="90"/>
      <c r="C270" s="90"/>
      <c r="D270" s="91"/>
      <c r="E270" s="90"/>
      <c r="F270" s="90"/>
      <c r="G270" s="92"/>
      <c r="H270" s="92"/>
      <c r="I270" s="93"/>
      <c r="J270" s="93"/>
      <c r="K270" s="93"/>
      <c r="L270" s="92"/>
      <c r="M270" s="93"/>
      <c r="N270" s="93"/>
    </row>
    <row r="271" spans="1:14" x14ac:dyDescent="0.25">
      <c r="A271" s="90"/>
      <c r="B271" s="90"/>
      <c r="C271" s="90"/>
      <c r="D271" s="91"/>
      <c r="E271" s="90"/>
      <c r="F271" s="90"/>
      <c r="G271" s="92"/>
      <c r="H271" s="92"/>
      <c r="I271" s="93"/>
      <c r="J271" s="93"/>
      <c r="K271" s="93"/>
      <c r="L271" s="92"/>
      <c r="M271" s="93"/>
      <c r="N271" s="93"/>
    </row>
    <row r="272" spans="1:14" x14ac:dyDescent="0.25">
      <c r="A272" s="90"/>
      <c r="B272" s="90"/>
      <c r="C272" s="90"/>
      <c r="D272" s="91"/>
      <c r="E272" s="90"/>
      <c r="F272" s="90"/>
      <c r="G272" s="92"/>
      <c r="H272" s="92"/>
      <c r="I272" s="93"/>
      <c r="J272" s="93"/>
      <c r="K272" s="93"/>
      <c r="L272" s="92"/>
      <c r="M272" s="93"/>
      <c r="N272" s="93"/>
    </row>
    <row r="273" spans="1:14" x14ac:dyDescent="0.25">
      <c r="A273" s="90"/>
      <c r="B273" s="90"/>
      <c r="C273" s="90"/>
      <c r="D273" s="91"/>
      <c r="E273" s="90"/>
      <c r="F273" s="90"/>
      <c r="G273" s="92"/>
      <c r="H273" s="92"/>
      <c r="I273" s="93"/>
      <c r="J273" s="93"/>
      <c r="K273" s="93"/>
      <c r="L273" s="92"/>
      <c r="M273" s="93"/>
      <c r="N273" s="93"/>
    </row>
    <row r="274" spans="1:14" x14ac:dyDescent="0.25">
      <c r="A274" s="90"/>
      <c r="B274" s="90"/>
      <c r="C274" s="90"/>
      <c r="D274" s="91"/>
      <c r="E274" s="90"/>
      <c r="F274" s="90"/>
      <c r="G274" s="92"/>
      <c r="H274" s="92"/>
      <c r="I274" s="93"/>
      <c r="J274" s="93"/>
      <c r="K274" s="93"/>
      <c r="L274" s="92"/>
      <c r="M274" s="93"/>
      <c r="N274" s="93"/>
    </row>
    <row r="275" spans="1:14" x14ac:dyDescent="0.25">
      <c r="A275" s="90"/>
      <c r="B275" s="90"/>
      <c r="C275" s="90"/>
      <c r="D275" s="91"/>
      <c r="E275" s="90"/>
      <c r="F275" s="90"/>
      <c r="G275" s="92"/>
      <c r="H275" s="92"/>
      <c r="I275" s="93"/>
      <c r="J275" s="93"/>
      <c r="K275" s="93"/>
      <c r="L275" s="92"/>
      <c r="M275" s="93"/>
      <c r="N275" s="93"/>
    </row>
    <row r="276" spans="1:14" x14ac:dyDescent="0.25">
      <c r="A276" s="90"/>
      <c r="B276" s="90"/>
      <c r="C276" s="90"/>
      <c r="D276" s="91"/>
      <c r="E276" s="90"/>
      <c r="F276" s="90"/>
      <c r="G276" s="92"/>
      <c r="H276" s="92"/>
      <c r="I276" s="93"/>
      <c r="J276" s="93"/>
      <c r="K276" s="93"/>
      <c r="L276" s="92"/>
      <c r="M276" s="93"/>
      <c r="N276" s="93"/>
    </row>
    <row r="277" spans="1:14" x14ac:dyDescent="0.25">
      <c r="A277" s="90"/>
      <c r="B277" s="90"/>
      <c r="C277" s="90"/>
      <c r="D277" s="91"/>
      <c r="E277" s="90"/>
      <c r="F277" s="90"/>
      <c r="G277" s="92"/>
      <c r="H277" s="92"/>
      <c r="I277" s="93"/>
      <c r="J277" s="93"/>
      <c r="K277" s="93"/>
      <c r="L277" s="92"/>
      <c r="M277" s="93"/>
      <c r="N277" s="93"/>
    </row>
    <row r="278" spans="1:14" x14ac:dyDescent="0.25">
      <c r="A278" s="90"/>
      <c r="B278" s="90"/>
      <c r="C278" s="90"/>
      <c r="D278" s="91"/>
      <c r="E278" s="90"/>
      <c r="F278" s="90"/>
      <c r="G278" s="92"/>
      <c r="H278" s="92"/>
      <c r="I278" s="93"/>
      <c r="J278" s="93"/>
      <c r="K278" s="93"/>
      <c r="L278" s="92"/>
      <c r="M278" s="93"/>
      <c r="N278" s="93"/>
    </row>
    <row r="279" spans="1:14" x14ac:dyDescent="0.25">
      <c r="A279" s="90"/>
      <c r="B279" s="90"/>
      <c r="C279" s="90"/>
      <c r="D279" s="91"/>
      <c r="E279" s="90"/>
      <c r="F279" s="90"/>
      <c r="G279" s="92"/>
      <c r="H279" s="92"/>
      <c r="I279" s="93"/>
      <c r="J279" s="93"/>
      <c r="K279" s="93"/>
      <c r="L279" s="92"/>
      <c r="M279" s="93"/>
      <c r="N279" s="93"/>
    </row>
    <row r="280" spans="1:14" x14ac:dyDescent="0.25">
      <c r="A280" s="90"/>
      <c r="B280" s="90"/>
      <c r="C280" s="90"/>
      <c r="D280" s="91"/>
      <c r="E280" s="90"/>
      <c r="F280" s="90"/>
      <c r="G280" s="92"/>
      <c r="H280" s="92"/>
      <c r="I280" s="93"/>
      <c r="J280" s="93"/>
      <c r="K280" s="93"/>
      <c r="L280" s="92"/>
      <c r="M280" s="93"/>
      <c r="N280" s="93"/>
    </row>
    <row r="281" spans="1:14" x14ac:dyDescent="0.25">
      <c r="A281" s="90"/>
      <c r="B281" s="90"/>
      <c r="C281" s="90"/>
      <c r="D281" s="91"/>
      <c r="E281" s="90"/>
      <c r="F281" s="90"/>
      <c r="G281" s="92"/>
      <c r="H281" s="92"/>
      <c r="I281" s="93"/>
      <c r="J281" s="93"/>
      <c r="K281" s="93"/>
      <c r="L281" s="92"/>
      <c r="M281" s="93"/>
      <c r="N281" s="93"/>
    </row>
    <row r="282" spans="1:14" x14ac:dyDescent="0.25">
      <c r="A282" s="90"/>
      <c r="B282" s="90"/>
      <c r="C282" s="90"/>
      <c r="D282" s="91"/>
      <c r="E282" s="90"/>
      <c r="F282" s="90"/>
      <c r="G282" s="92"/>
      <c r="H282" s="92"/>
      <c r="I282" s="93"/>
      <c r="J282" s="93"/>
      <c r="K282" s="93"/>
      <c r="L282" s="92"/>
      <c r="M282" s="93"/>
      <c r="N282" s="93"/>
    </row>
    <row r="283" spans="1:14" x14ac:dyDescent="0.25">
      <c r="A283" s="90"/>
      <c r="B283" s="90"/>
      <c r="C283" s="90"/>
      <c r="D283" s="91"/>
      <c r="E283" s="90"/>
      <c r="F283" s="90"/>
      <c r="G283" s="92"/>
      <c r="H283" s="92"/>
      <c r="I283" s="93"/>
      <c r="J283" s="93"/>
      <c r="K283" s="93"/>
      <c r="L283" s="92"/>
      <c r="M283" s="93"/>
      <c r="N283" s="93"/>
    </row>
    <row r="284" spans="1:14" x14ac:dyDescent="0.25">
      <c r="A284" s="90"/>
      <c r="B284" s="90"/>
      <c r="C284" s="90"/>
      <c r="D284" s="91"/>
      <c r="E284" s="90"/>
      <c r="F284" s="90"/>
      <c r="G284" s="92"/>
      <c r="H284" s="92"/>
      <c r="I284" s="93"/>
      <c r="J284" s="93"/>
      <c r="K284" s="93"/>
      <c r="L284" s="92"/>
      <c r="M284" s="93"/>
      <c r="N284" s="93"/>
    </row>
    <row r="285" spans="1:14" x14ac:dyDescent="0.25">
      <c r="A285" s="90"/>
      <c r="B285" s="90"/>
      <c r="C285" s="90"/>
      <c r="D285" s="91"/>
      <c r="E285" s="90"/>
      <c r="F285" s="90"/>
      <c r="G285" s="92"/>
      <c r="H285" s="92"/>
      <c r="I285" s="93"/>
      <c r="J285" s="93"/>
      <c r="K285" s="93"/>
      <c r="L285" s="92"/>
      <c r="M285" s="93"/>
      <c r="N285" s="93"/>
    </row>
    <row r="286" spans="1:14" x14ac:dyDescent="0.25">
      <c r="A286" s="90"/>
      <c r="B286" s="90"/>
      <c r="C286" s="90"/>
      <c r="D286" s="91"/>
      <c r="E286" s="90"/>
      <c r="F286" s="90"/>
      <c r="G286" s="92"/>
      <c r="H286" s="92"/>
      <c r="I286" s="93"/>
      <c r="J286" s="93"/>
      <c r="K286" s="93"/>
      <c r="L286" s="92"/>
      <c r="M286" s="93"/>
      <c r="N286" s="93"/>
    </row>
    <row r="287" spans="1:14" x14ac:dyDescent="0.25">
      <c r="A287" s="90"/>
      <c r="B287" s="90"/>
      <c r="C287" s="90"/>
      <c r="D287" s="91"/>
      <c r="E287" s="90"/>
      <c r="F287" s="90"/>
      <c r="G287" s="92"/>
      <c r="H287" s="92"/>
      <c r="I287" s="93"/>
      <c r="J287" s="93"/>
      <c r="K287" s="93"/>
      <c r="L287" s="92"/>
      <c r="M287" s="93"/>
      <c r="N287" s="93"/>
    </row>
    <row r="288" spans="1:14" x14ac:dyDescent="0.25">
      <c r="A288" s="90"/>
      <c r="B288" s="90"/>
      <c r="C288" s="90"/>
      <c r="D288" s="91"/>
      <c r="E288" s="90"/>
      <c r="F288" s="90"/>
      <c r="G288" s="92"/>
      <c r="H288" s="92"/>
      <c r="I288" s="93"/>
      <c r="J288" s="93"/>
      <c r="K288" s="93"/>
      <c r="L288" s="92"/>
      <c r="M288" s="93"/>
      <c r="N288" s="93"/>
    </row>
    <row r="289" spans="1:14" x14ac:dyDescent="0.25">
      <c r="A289" s="90"/>
      <c r="B289" s="90"/>
      <c r="C289" s="90"/>
      <c r="D289" s="91"/>
      <c r="E289" s="90"/>
      <c r="F289" s="90"/>
      <c r="G289" s="92"/>
      <c r="H289" s="92"/>
      <c r="I289" s="93"/>
      <c r="J289" s="93"/>
      <c r="K289" s="93"/>
      <c r="L289" s="92"/>
      <c r="M289" s="93"/>
      <c r="N289" s="93"/>
    </row>
    <row r="290" spans="1:14" x14ac:dyDescent="0.25">
      <c r="A290" s="90"/>
      <c r="B290" s="90"/>
      <c r="C290" s="90"/>
      <c r="D290" s="91"/>
      <c r="E290" s="90"/>
      <c r="F290" s="90"/>
      <c r="G290" s="92"/>
      <c r="H290" s="92"/>
      <c r="I290" s="93"/>
      <c r="J290" s="93"/>
      <c r="K290" s="93"/>
      <c r="L290" s="92"/>
      <c r="M290" s="93"/>
      <c r="N290" s="93"/>
    </row>
    <row r="291" spans="1:14" x14ac:dyDescent="0.25">
      <c r="A291" s="90"/>
      <c r="B291" s="90"/>
      <c r="C291" s="90"/>
      <c r="D291" s="91"/>
      <c r="E291" s="90"/>
      <c r="F291" s="90"/>
      <c r="G291" s="92"/>
      <c r="H291" s="92"/>
      <c r="I291" s="93"/>
      <c r="J291" s="93"/>
      <c r="K291" s="93"/>
      <c r="L291" s="92"/>
      <c r="M291" s="93"/>
      <c r="N291" s="93"/>
    </row>
    <row r="292" spans="1:14" x14ac:dyDescent="0.25">
      <c r="A292" s="90"/>
      <c r="B292" s="90"/>
      <c r="C292" s="90"/>
      <c r="D292" s="91"/>
      <c r="E292" s="90"/>
      <c r="F292" s="90"/>
      <c r="G292" s="92"/>
      <c r="H292" s="92"/>
      <c r="I292" s="93"/>
      <c r="J292" s="93"/>
      <c r="K292" s="93"/>
      <c r="L292" s="92"/>
      <c r="M292" s="93"/>
      <c r="N292" s="93"/>
    </row>
    <row r="293" spans="1:14" x14ac:dyDescent="0.25">
      <c r="A293" s="90"/>
      <c r="B293" s="90"/>
      <c r="C293" s="90"/>
      <c r="D293" s="91"/>
      <c r="E293" s="90"/>
      <c r="F293" s="90"/>
      <c r="G293" s="92"/>
      <c r="H293" s="92"/>
      <c r="I293" s="93"/>
      <c r="J293" s="93"/>
      <c r="K293" s="93"/>
      <c r="L293" s="92"/>
      <c r="M293" s="93"/>
      <c r="N293" s="93"/>
    </row>
    <row r="294" spans="1:14" x14ac:dyDescent="0.25">
      <c r="A294" s="90"/>
      <c r="B294" s="90"/>
      <c r="C294" s="90"/>
      <c r="D294" s="91"/>
      <c r="E294" s="90"/>
      <c r="F294" s="90"/>
      <c r="G294" s="92"/>
      <c r="H294" s="92"/>
      <c r="I294" s="93"/>
      <c r="J294" s="93"/>
      <c r="K294" s="93"/>
      <c r="L294" s="92"/>
      <c r="M294" s="93"/>
      <c r="N294" s="93"/>
    </row>
    <row r="295" spans="1:14" x14ac:dyDescent="0.25">
      <c r="A295" s="90"/>
      <c r="B295" s="90"/>
      <c r="C295" s="90"/>
      <c r="D295" s="91"/>
      <c r="E295" s="90"/>
      <c r="F295" s="90"/>
      <c r="G295" s="92"/>
      <c r="H295" s="92"/>
      <c r="I295" s="93"/>
      <c r="J295" s="93"/>
      <c r="K295" s="93"/>
      <c r="L295" s="92"/>
      <c r="M295" s="93"/>
      <c r="N295" s="93"/>
    </row>
    <row r="296" spans="1:14" x14ac:dyDescent="0.25">
      <c r="A296" s="90"/>
      <c r="B296" s="90"/>
      <c r="C296" s="90"/>
      <c r="D296" s="91"/>
      <c r="E296" s="90"/>
      <c r="F296" s="90"/>
      <c r="G296" s="92"/>
      <c r="H296" s="92"/>
      <c r="I296" s="93"/>
      <c r="J296" s="93"/>
      <c r="K296" s="93"/>
      <c r="L296" s="92"/>
      <c r="M296" s="93"/>
      <c r="N296" s="93"/>
    </row>
  </sheetData>
  <sortState xmlns:xlrd2="http://schemas.microsoft.com/office/spreadsheetml/2017/richdata2" ref="A2:R33">
    <sortCondition ref="C2:C33"/>
  </sortState>
  <pageMargins left="0.7" right="0.7" top="0.75" bottom="0.75" header="0.3" footer="0.3"/>
  <pageSetup scale="48" fitToHeight="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M189"/>
  <sheetViews>
    <sheetView showGridLines="0" zoomScale="120" zoomScaleNormal="120" workbookViewId="0">
      <pane xSplit="4" ySplit="1" topLeftCell="E23" activePane="bottomRight" state="frozen"/>
      <selection pane="topRight" activeCell="E1" sqref="E1"/>
      <selection pane="bottomLeft" activeCell="A2" sqref="A2"/>
      <selection pane="bottomRight" activeCell="H5" sqref="H5"/>
    </sheetView>
  </sheetViews>
  <sheetFormatPr defaultRowHeight="15" x14ac:dyDescent="0.25"/>
  <cols>
    <col min="1" max="1" width="10.140625" style="2" customWidth="1"/>
    <col min="2" max="2" width="9.140625" style="2" customWidth="1"/>
    <col min="3" max="3" width="10.28515625" style="2" customWidth="1"/>
    <col min="4" max="4" width="36.85546875" style="1" customWidth="1"/>
    <col min="5" max="5" width="9.140625" style="2" customWidth="1"/>
    <col min="6" max="6" width="18.28515625" style="62" customWidth="1"/>
    <col min="7" max="7" width="16.85546875" style="62" customWidth="1"/>
    <col min="8" max="8" width="18.140625" style="62" customWidth="1"/>
    <col min="9" max="9" width="15.85546875" style="62" customWidth="1"/>
    <col min="10" max="10" width="16.7109375" style="62" customWidth="1"/>
    <col min="11" max="11" width="19.28515625" style="62" customWidth="1"/>
    <col min="12" max="12" width="9.140625" style="62" customWidth="1"/>
    <col min="13" max="13" width="15.7109375" style="62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61" t="s">
        <v>5</v>
      </c>
      <c r="G1" s="61" t="s">
        <v>6</v>
      </c>
      <c r="H1" s="61" t="s">
        <v>7</v>
      </c>
      <c r="I1" s="61" t="s">
        <v>8</v>
      </c>
      <c r="J1" s="61" t="s">
        <v>9</v>
      </c>
      <c r="K1" s="61" t="s">
        <v>10</v>
      </c>
      <c r="L1" s="61" t="s">
        <v>11</v>
      </c>
      <c r="M1" s="61"/>
    </row>
    <row r="2" spans="1:13" x14ac:dyDescent="0.25">
      <c r="A2" s="91" t="s">
        <v>0</v>
      </c>
      <c r="B2" s="91" t="s">
        <v>477</v>
      </c>
      <c r="C2" s="91" t="s">
        <v>2</v>
      </c>
      <c r="D2" s="91" t="s">
        <v>3</v>
      </c>
      <c r="E2" s="91" t="s">
        <v>4</v>
      </c>
      <c r="F2" s="91" t="s">
        <v>5</v>
      </c>
      <c r="G2" s="91" t="s">
        <v>6</v>
      </c>
      <c r="H2" s="91" t="s">
        <v>7</v>
      </c>
      <c r="I2" s="91" t="s">
        <v>8</v>
      </c>
      <c r="J2" s="91" t="s">
        <v>9</v>
      </c>
      <c r="K2" s="91" t="s">
        <v>10</v>
      </c>
      <c r="L2" s="91" t="s">
        <v>11</v>
      </c>
    </row>
    <row r="3" spans="1:13" x14ac:dyDescent="0.25">
      <c r="A3" s="90" t="s">
        <v>479</v>
      </c>
      <c r="B3" s="90" t="s">
        <v>13</v>
      </c>
      <c r="C3" s="90" t="s">
        <v>13</v>
      </c>
      <c r="D3" s="91" t="s">
        <v>500</v>
      </c>
      <c r="E3" s="90" t="s">
        <v>13</v>
      </c>
      <c r="F3" s="92"/>
      <c r="G3" s="92"/>
      <c r="H3" s="93"/>
      <c r="I3" s="93"/>
      <c r="J3" s="94"/>
      <c r="K3" s="92"/>
      <c r="L3" s="93"/>
    </row>
    <row r="4" spans="1:13" x14ac:dyDescent="0.25">
      <c r="A4" s="90" t="s">
        <v>312</v>
      </c>
      <c r="B4" s="90" t="s">
        <v>13</v>
      </c>
      <c r="C4" s="90" t="s">
        <v>13</v>
      </c>
      <c r="D4" s="91" t="s">
        <v>501</v>
      </c>
      <c r="E4" s="90" t="s">
        <v>13</v>
      </c>
      <c r="F4" s="92">
        <v>0</v>
      </c>
      <c r="G4" s="92">
        <v>0</v>
      </c>
      <c r="H4" s="93">
        <v>27353</v>
      </c>
      <c r="I4" s="93"/>
      <c r="J4" s="94"/>
      <c r="K4" s="92"/>
      <c r="L4" s="93"/>
    </row>
    <row r="5" spans="1:13" x14ac:dyDescent="0.25">
      <c r="A5" s="90" t="s">
        <v>12</v>
      </c>
      <c r="B5" s="90" t="s">
        <v>13</v>
      </c>
      <c r="C5" s="90" t="s">
        <v>13</v>
      </c>
      <c r="D5" s="91" t="s">
        <v>14</v>
      </c>
      <c r="E5" s="90" t="s">
        <v>13</v>
      </c>
      <c r="F5" s="92">
        <v>1141011</v>
      </c>
      <c r="G5" s="92">
        <v>8376610</v>
      </c>
      <c r="H5" s="93">
        <v>7907471.25</v>
      </c>
      <c r="I5" s="93"/>
      <c r="J5" s="94"/>
      <c r="K5" s="92"/>
      <c r="L5" s="93"/>
    </row>
    <row r="6" spans="1:13" x14ac:dyDescent="0.25">
      <c r="A6" s="90" t="s">
        <v>15</v>
      </c>
      <c r="B6" s="90" t="s">
        <v>13</v>
      </c>
      <c r="C6" s="90" t="s">
        <v>13</v>
      </c>
      <c r="D6" s="91" t="s">
        <v>16</v>
      </c>
      <c r="E6" s="90" t="s">
        <v>13</v>
      </c>
      <c r="F6" s="92">
        <v>1314900</v>
      </c>
      <c r="G6" s="92">
        <v>1314900</v>
      </c>
      <c r="H6" s="93">
        <v>1274328.1099999999</v>
      </c>
      <c r="I6" s="93"/>
      <c r="J6" s="94"/>
      <c r="K6" s="92">
        <v>1332215.6299999999</v>
      </c>
      <c r="L6" s="93">
        <v>9.1999999999999993</v>
      </c>
      <c r="M6" s="62">
        <f t="shared" ref="M6:M57" si="0">+H6</f>
        <v>1274328.1099999999</v>
      </c>
    </row>
    <row r="7" spans="1:13" x14ac:dyDescent="0.25">
      <c r="A7" s="90" t="s">
        <v>17</v>
      </c>
      <c r="B7" s="90" t="s">
        <v>13</v>
      </c>
      <c r="C7" s="90" t="s">
        <v>13</v>
      </c>
      <c r="D7" s="91" t="s">
        <v>18</v>
      </c>
      <c r="E7" s="90" t="s">
        <v>13</v>
      </c>
      <c r="F7" s="92">
        <v>2293412</v>
      </c>
      <c r="G7" s="92">
        <v>2293412</v>
      </c>
      <c r="H7" s="93">
        <v>1863910.1500000004</v>
      </c>
      <c r="I7" s="93"/>
      <c r="J7" s="94"/>
      <c r="K7" s="92">
        <v>2089319.14</v>
      </c>
      <c r="L7" s="93">
        <v>11.7</v>
      </c>
      <c r="M7" s="62">
        <f t="shared" si="0"/>
        <v>1863910.1500000004</v>
      </c>
    </row>
    <row r="8" spans="1:13" x14ac:dyDescent="0.25">
      <c r="A8" s="90" t="s">
        <v>19</v>
      </c>
      <c r="B8" s="90" t="s">
        <v>13</v>
      </c>
      <c r="C8" s="90" t="s">
        <v>13</v>
      </c>
      <c r="D8" s="91" t="s">
        <v>20</v>
      </c>
      <c r="E8" s="90" t="s">
        <v>13</v>
      </c>
      <c r="F8" s="92">
        <v>1139056</v>
      </c>
      <c r="G8" s="92">
        <v>1139056</v>
      </c>
      <c r="H8" s="93">
        <v>1026930.2100000002</v>
      </c>
      <c r="I8" s="93"/>
      <c r="J8" s="94"/>
      <c r="K8" s="92">
        <v>931829.49</v>
      </c>
      <c r="L8" s="93">
        <v>15.1</v>
      </c>
      <c r="M8" s="62">
        <f t="shared" si="0"/>
        <v>1026930.2100000002</v>
      </c>
    </row>
    <row r="9" spans="1:13" x14ac:dyDescent="0.25">
      <c r="A9" s="90" t="s">
        <v>21</v>
      </c>
      <c r="B9" s="90" t="s">
        <v>13</v>
      </c>
      <c r="C9" s="90" t="s">
        <v>13</v>
      </c>
      <c r="D9" s="91" t="s">
        <v>22</v>
      </c>
      <c r="E9" s="90" t="s">
        <v>13</v>
      </c>
      <c r="F9" s="92">
        <v>551223</v>
      </c>
      <c r="G9" s="92">
        <v>551223</v>
      </c>
      <c r="H9" s="93">
        <v>498841.47</v>
      </c>
      <c r="I9" s="93"/>
      <c r="J9" s="94"/>
      <c r="K9" s="92">
        <v>482567.15</v>
      </c>
      <c r="L9" s="93">
        <v>12.5</v>
      </c>
      <c r="M9" s="62">
        <f t="shared" si="0"/>
        <v>498841.47</v>
      </c>
    </row>
    <row r="10" spans="1:13" x14ac:dyDescent="0.25">
      <c r="A10" s="90" t="s">
        <v>23</v>
      </c>
      <c r="B10" s="90" t="s">
        <v>13</v>
      </c>
      <c r="C10" s="90" t="s">
        <v>13</v>
      </c>
      <c r="D10" s="91" t="s">
        <v>24</v>
      </c>
      <c r="E10" s="90" t="s">
        <v>13</v>
      </c>
      <c r="F10" s="92">
        <v>1061610</v>
      </c>
      <c r="G10" s="92">
        <v>1061610</v>
      </c>
      <c r="H10" s="93">
        <v>1082096.72</v>
      </c>
      <c r="I10" s="93"/>
      <c r="J10" s="94"/>
      <c r="K10" s="92">
        <v>1244153.45</v>
      </c>
      <c r="L10" s="93">
        <v>12.8</v>
      </c>
      <c r="M10" s="62">
        <f t="shared" si="0"/>
        <v>1082096.72</v>
      </c>
    </row>
    <row r="11" spans="1:13" x14ac:dyDescent="0.25">
      <c r="A11" s="90" t="s">
        <v>25</v>
      </c>
      <c r="B11" s="90" t="s">
        <v>13</v>
      </c>
      <c r="C11" s="90" t="s">
        <v>13</v>
      </c>
      <c r="D11" s="91" t="s">
        <v>26</v>
      </c>
      <c r="E11" s="90" t="s">
        <v>13</v>
      </c>
      <c r="F11" s="92">
        <v>1007154</v>
      </c>
      <c r="G11" s="92">
        <v>1007154</v>
      </c>
      <c r="H11" s="93">
        <v>886113.36</v>
      </c>
      <c r="I11" s="93"/>
      <c r="J11" s="94"/>
      <c r="K11" s="92">
        <v>839688.91</v>
      </c>
      <c r="L11" s="93">
        <v>12.5</v>
      </c>
      <c r="M11" s="62">
        <f t="shared" si="0"/>
        <v>886113.36</v>
      </c>
    </row>
    <row r="12" spans="1:13" x14ac:dyDescent="0.25">
      <c r="A12" s="90" t="s">
        <v>27</v>
      </c>
      <c r="B12" s="90" t="s">
        <v>13</v>
      </c>
      <c r="C12" s="90" t="s">
        <v>13</v>
      </c>
      <c r="D12" s="91" t="s">
        <v>28</v>
      </c>
      <c r="E12" s="90" t="s">
        <v>13</v>
      </c>
      <c r="F12" s="92">
        <v>58386</v>
      </c>
      <c r="G12" s="92">
        <v>58386</v>
      </c>
      <c r="H12" s="93">
        <v>54937.53</v>
      </c>
      <c r="I12" s="93"/>
      <c r="J12" s="94"/>
      <c r="K12" s="92">
        <v>51606.94</v>
      </c>
      <c r="L12" s="93">
        <v>12.7</v>
      </c>
      <c r="M12" s="62">
        <f t="shared" si="0"/>
        <v>54937.53</v>
      </c>
    </row>
    <row r="13" spans="1:13" x14ac:dyDescent="0.25">
      <c r="A13" s="90" t="s">
        <v>29</v>
      </c>
      <c r="B13" s="90" t="s">
        <v>13</v>
      </c>
      <c r="C13" s="90" t="s">
        <v>13</v>
      </c>
      <c r="D13" s="91" t="s">
        <v>30</v>
      </c>
      <c r="E13" s="90" t="s">
        <v>13</v>
      </c>
      <c r="F13" s="92">
        <v>2478889</v>
      </c>
      <c r="G13" s="92">
        <v>2478889</v>
      </c>
      <c r="H13" s="93">
        <v>2327291.9899999998</v>
      </c>
      <c r="I13" s="93"/>
      <c r="J13" s="94"/>
      <c r="K13" s="92">
        <v>2116422.4700000002</v>
      </c>
      <c r="L13" s="93">
        <v>14.1</v>
      </c>
      <c r="M13" s="62">
        <f t="shared" si="0"/>
        <v>2327291.9899999998</v>
      </c>
    </row>
    <row r="14" spans="1:13" x14ac:dyDescent="0.25">
      <c r="A14" s="90" t="s">
        <v>31</v>
      </c>
      <c r="B14" s="90" t="s">
        <v>13</v>
      </c>
      <c r="C14" s="90" t="s">
        <v>13</v>
      </c>
      <c r="D14" s="91" t="s">
        <v>32</v>
      </c>
      <c r="E14" s="90" t="s">
        <v>13</v>
      </c>
      <c r="F14" s="92">
        <v>416915</v>
      </c>
      <c r="G14" s="92">
        <v>416915</v>
      </c>
      <c r="H14" s="93">
        <v>395753.17</v>
      </c>
      <c r="I14" s="93"/>
      <c r="J14" s="94"/>
      <c r="K14" s="92">
        <v>382393.86</v>
      </c>
      <c r="L14" s="93">
        <v>12.7</v>
      </c>
      <c r="M14" s="62">
        <f t="shared" si="0"/>
        <v>395753.17</v>
      </c>
    </row>
    <row r="15" spans="1:13" x14ac:dyDescent="0.25">
      <c r="A15" s="90" t="s">
        <v>33</v>
      </c>
      <c r="B15" s="90" t="s">
        <v>13</v>
      </c>
      <c r="C15" s="90" t="s">
        <v>13</v>
      </c>
      <c r="D15" s="91" t="s">
        <v>34</v>
      </c>
      <c r="E15" s="90" t="s">
        <v>13</v>
      </c>
      <c r="F15" s="92">
        <v>1700450</v>
      </c>
      <c r="G15" s="92">
        <v>1700450</v>
      </c>
      <c r="H15" s="93">
        <v>1700450</v>
      </c>
      <c r="I15" s="93"/>
      <c r="J15" s="94" t="s">
        <v>152</v>
      </c>
      <c r="K15" s="92">
        <v>1275337.5</v>
      </c>
      <c r="L15" s="93">
        <v>25</v>
      </c>
      <c r="M15" s="62">
        <f t="shared" si="0"/>
        <v>1700450</v>
      </c>
    </row>
    <row r="16" spans="1:13" x14ac:dyDescent="0.25">
      <c r="A16" s="90" t="s">
        <v>35</v>
      </c>
      <c r="B16" s="90" t="s">
        <v>13</v>
      </c>
      <c r="C16" s="90" t="s">
        <v>13</v>
      </c>
      <c r="D16" s="91" t="s">
        <v>36</v>
      </c>
      <c r="E16" s="90" t="s">
        <v>13</v>
      </c>
      <c r="F16" s="92">
        <v>1978054</v>
      </c>
      <c r="G16" s="92">
        <v>2001811</v>
      </c>
      <c r="H16" s="93">
        <v>2091857.64</v>
      </c>
      <c r="I16" s="93"/>
      <c r="J16" s="94"/>
      <c r="K16" s="92">
        <v>1924751.77</v>
      </c>
      <c r="L16" s="93">
        <v>12.3</v>
      </c>
      <c r="M16" s="62">
        <f t="shared" si="0"/>
        <v>2091857.64</v>
      </c>
    </row>
    <row r="17" spans="1:13" x14ac:dyDescent="0.25">
      <c r="A17" s="90" t="s">
        <v>37</v>
      </c>
      <c r="B17" s="90" t="s">
        <v>13</v>
      </c>
      <c r="C17" s="90" t="s">
        <v>13</v>
      </c>
      <c r="D17" s="91" t="s">
        <v>38</v>
      </c>
      <c r="E17" s="90"/>
      <c r="F17" s="92">
        <v>491284</v>
      </c>
      <c r="G17" s="92">
        <v>491284</v>
      </c>
      <c r="H17" s="93">
        <v>450129.33</v>
      </c>
      <c r="I17" s="93"/>
      <c r="J17" s="94"/>
      <c r="K17" s="92">
        <v>413737.31</v>
      </c>
      <c r="L17" s="93">
        <v>11.2</v>
      </c>
      <c r="M17" s="62">
        <f t="shared" si="0"/>
        <v>450129.33</v>
      </c>
    </row>
    <row r="18" spans="1:13" x14ac:dyDescent="0.25">
      <c r="A18" s="90" t="s">
        <v>39</v>
      </c>
      <c r="B18" s="90" t="s">
        <v>13</v>
      </c>
      <c r="C18" s="90" t="s">
        <v>13</v>
      </c>
      <c r="D18" s="91" t="s">
        <v>40</v>
      </c>
      <c r="E18" s="90" t="s">
        <v>13</v>
      </c>
      <c r="F18" s="92">
        <v>525366</v>
      </c>
      <c r="G18" s="92">
        <v>525366</v>
      </c>
      <c r="H18" s="93">
        <v>512999.12999999995</v>
      </c>
      <c r="I18" s="93"/>
      <c r="J18" s="94"/>
      <c r="K18" s="92">
        <v>649048.64</v>
      </c>
      <c r="L18" s="93">
        <v>13.2</v>
      </c>
      <c r="M18" s="62">
        <f t="shared" si="0"/>
        <v>512999.12999999995</v>
      </c>
    </row>
    <row r="19" spans="1:13" x14ac:dyDescent="0.25">
      <c r="A19" s="90" t="s">
        <v>41</v>
      </c>
      <c r="B19" s="90" t="s">
        <v>13</v>
      </c>
      <c r="C19" s="90" t="s">
        <v>13</v>
      </c>
      <c r="D19" s="91" t="s">
        <v>42</v>
      </c>
      <c r="E19" s="90" t="s">
        <v>13</v>
      </c>
      <c r="F19" s="92">
        <v>1018945</v>
      </c>
      <c r="G19" s="92">
        <v>1018945</v>
      </c>
      <c r="H19" s="93">
        <v>1044818.8999999999</v>
      </c>
      <c r="I19" s="93"/>
      <c r="J19" s="94"/>
      <c r="K19" s="92">
        <v>953290.36</v>
      </c>
      <c r="L19" s="93">
        <v>10.6</v>
      </c>
      <c r="M19" s="62">
        <f t="shared" si="0"/>
        <v>1044818.8999999999</v>
      </c>
    </row>
    <row r="20" spans="1:13" x14ac:dyDescent="0.25">
      <c r="A20" s="90" t="s">
        <v>43</v>
      </c>
      <c r="B20" s="90" t="s">
        <v>13</v>
      </c>
      <c r="C20" s="90" t="s">
        <v>13</v>
      </c>
      <c r="D20" s="91" t="s">
        <v>44</v>
      </c>
      <c r="E20" s="90" t="s">
        <v>13</v>
      </c>
      <c r="F20" s="92">
        <v>1745218</v>
      </c>
      <c r="G20" s="92">
        <v>1650500</v>
      </c>
      <c r="H20" s="93">
        <v>1495098.01</v>
      </c>
      <c r="I20" s="93"/>
      <c r="J20" s="94"/>
      <c r="K20" s="92">
        <v>1387922.31</v>
      </c>
      <c r="L20" s="93">
        <v>15.4</v>
      </c>
      <c r="M20" s="62">
        <f t="shared" si="0"/>
        <v>1495098.01</v>
      </c>
    </row>
    <row r="21" spans="1:13" x14ac:dyDescent="0.25">
      <c r="A21" s="90" t="s">
        <v>45</v>
      </c>
      <c r="B21" s="90" t="s">
        <v>13</v>
      </c>
      <c r="C21" s="90" t="s">
        <v>13</v>
      </c>
      <c r="D21" s="91" t="s">
        <v>46</v>
      </c>
      <c r="E21" s="90" t="s">
        <v>13</v>
      </c>
      <c r="F21" s="92">
        <v>4582865</v>
      </c>
      <c r="G21" s="92">
        <v>4582865</v>
      </c>
      <c r="H21" s="93">
        <v>2923558.7800000003</v>
      </c>
      <c r="I21" s="93"/>
      <c r="J21" s="94"/>
      <c r="K21" s="92">
        <v>3436648.69</v>
      </c>
      <c r="L21" s="93">
        <v>19.100000000000001</v>
      </c>
      <c r="M21" s="62">
        <f t="shared" si="0"/>
        <v>2923558.7800000003</v>
      </c>
    </row>
    <row r="22" spans="1:13" x14ac:dyDescent="0.25">
      <c r="A22" s="90" t="s">
        <v>47</v>
      </c>
      <c r="B22" s="90" t="s">
        <v>13</v>
      </c>
      <c r="C22" s="90" t="s">
        <v>13</v>
      </c>
      <c r="D22" s="91" t="s">
        <v>48</v>
      </c>
      <c r="E22" s="90" t="s">
        <v>13</v>
      </c>
      <c r="F22" s="92">
        <v>257953</v>
      </c>
      <c r="G22" s="92">
        <v>257953</v>
      </c>
      <c r="H22" s="93">
        <v>264382.20999999996</v>
      </c>
      <c r="I22" s="93"/>
      <c r="J22" s="94"/>
      <c r="K22" s="92">
        <v>247259.27</v>
      </c>
      <c r="L22" s="93">
        <v>12.9</v>
      </c>
      <c r="M22" s="62">
        <f t="shared" si="0"/>
        <v>264382.20999999996</v>
      </c>
    </row>
    <row r="23" spans="1:13" x14ac:dyDescent="0.25">
      <c r="A23" s="90" t="s">
        <v>49</v>
      </c>
      <c r="B23" s="90" t="s">
        <v>13</v>
      </c>
      <c r="C23" s="90" t="s">
        <v>13</v>
      </c>
      <c r="D23" s="91" t="s">
        <v>50</v>
      </c>
      <c r="E23" s="90" t="s">
        <v>13</v>
      </c>
      <c r="F23" s="92">
        <v>2261414</v>
      </c>
      <c r="G23" s="92">
        <v>2261414</v>
      </c>
      <c r="H23" s="93">
        <v>2177085.1799999997</v>
      </c>
      <c r="I23" s="93"/>
      <c r="J23" s="94"/>
      <c r="K23" s="92">
        <v>2126986.66</v>
      </c>
      <c r="L23" s="93">
        <v>14.7</v>
      </c>
      <c r="M23" s="62">
        <f t="shared" si="0"/>
        <v>2177085.1799999997</v>
      </c>
    </row>
    <row r="24" spans="1:13" x14ac:dyDescent="0.25">
      <c r="A24" s="90" t="s">
        <v>51</v>
      </c>
      <c r="B24" s="90" t="s">
        <v>13</v>
      </c>
      <c r="C24" s="90" t="s">
        <v>13</v>
      </c>
      <c r="D24" s="91" t="s">
        <v>52</v>
      </c>
      <c r="E24" s="90" t="s">
        <v>13</v>
      </c>
      <c r="F24" s="92">
        <v>477535</v>
      </c>
      <c r="G24" s="92">
        <v>477535</v>
      </c>
      <c r="H24" s="93">
        <v>430705.36</v>
      </c>
      <c r="I24" s="93"/>
      <c r="J24" s="94"/>
      <c r="K24" s="92">
        <v>375562.25</v>
      </c>
      <c r="L24" s="93">
        <v>18.899999999999999</v>
      </c>
      <c r="M24" s="62">
        <f t="shared" si="0"/>
        <v>430705.36</v>
      </c>
    </row>
    <row r="25" spans="1:13" x14ac:dyDescent="0.25">
      <c r="A25" s="90" t="s">
        <v>53</v>
      </c>
      <c r="B25" s="90" t="s">
        <v>13</v>
      </c>
      <c r="C25" s="90" t="s">
        <v>13</v>
      </c>
      <c r="D25" s="91" t="s">
        <v>54</v>
      </c>
      <c r="E25" s="90" t="s">
        <v>13</v>
      </c>
      <c r="F25" s="92">
        <v>1202496</v>
      </c>
      <c r="G25" s="92">
        <v>1202496</v>
      </c>
      <c r="H25" s="93">
        <v>1038427.52</v>
      </c>
      <c r="I25" s="93"/>
      <c r="J25" s="94"/>
      <c r="K25" s="92">
        <v>907852.42</v>
      </c>
      <c r="L25" s="93">
        <v>12.3</v>
      </c>
      <c r="M25" s="62">
        <f t="shared" si="0"/>
        <v>1038427.52</v>
      </c>
    </row>
    <row r="26" spans="1:13" x14ac:dyDescent="0.25">
      <c r="A26" s="90" t="s">
        <v>55</v>
      </c>
      <c r="B26" s="90" t="s">
        <v>13</v>
      </c>
      <c r="C26" s="90" t="s">
        <v>13</v>
      </c>
      <c r="D26" s="91" t="s">
        <v>470</v>
      </c>
      <c r="E26" s="90" t="s">
        <v>13</v>
      </c>
      <c r="F26" s="92">
        <v>2400</v>
      </c>
      <c r="G26" s="92">
        <v>456.84</v>
      </c>
      <c r="H26" s="93">
        <v>1142.0999999999999</v>
      </c>
      <c r="I26" s="93"/>
      <c r="J26" s="94"/>
      <c r="K26" s="92">
        <v>-114.21</v>
      </c>
      <c r="L26" s="93">
        <v>100</v>
      </c>
      <c r="M26" s="62">
        <f t="shared" si="0"/>
        <v>1142.0999999999999</v>
      </c>
    </row>
    <row r="27" spans="1:13" x14ac:dyDescent="0.25">
      <c r="A27" s="90" t="s">
        <v>56</v>
      </c>
      <c r="B27" s="90" t="s">
        <v>13</v>
      </c>
      <c r="C27" s="90" t="s">
        <v>13</v>
      </c>
      <c r="D27" s="91" t="s">
        <v>57</v>
      </c>
      <c r="E27" s="90" t="s">
        <v>13</v>
      </c>
      <c r="F27" s="92">
        <v>1341324</v>
      </c>
      <c r="G27" s="92">
        <v>1341324</v>
      </c>
      <c r="H27" s="93">
        <v>1109677.2499999998</v>
      </c>
      <c r="I27" s="93"/>
      <c r="J27" s="94"/>
      <c r="K27" s="92">
        <v>1200352.52</v>
      </c>
      <c r="L27" s="93">
        <v>16</v>
      </c>
      <c r="M27" s="62">
        <f t="shared" si="0"/>
        <v>1109677.2499999998</v>
      </c>
    </row>
    <row r="28" spans="1:13" x14ac:dyDescent="0.25">
      <c r="A28" s="90" t="s">
        <v>58</v>
      </c>
      <c r="B28" s="90" t="s">
        <v>13</v>
      </c>
      <c r="C28" s="90" t="s">
        <v>13</v>
      </c>
      <c r="D28" s="91" t="s">
        <v>59</v>
      </c>
      <c r="E28" s="90" t="s">
        <v>13</v>
      </c>
      <c r="F28" s="92">
        <v>5729188</v>
      </c>
      <c r="G28" s="92">
        <v>5687188</v>
      </c>
      <c r="H28" s="93">
        <v>5098244.3100000005</v>
      </c>
      <c r="I28" s="93"/>
      <c r="J28" s="94"/>
      <c r="K28" s="92">
        <v>4211044.6100000003</v>
      </c>
      <c r="L28" s="93">
        <v>25.3</v>
      </c>
      <c r="M28" s="62">
        <f t="shared" si="0"/>
        <v>5098244.3100000005</v>
      </c>
    </row>
    <row r="29" spans="1:13" x14ac:dyDescent="0.25">
      <c r="A29" s="90" t="s">
        <v>60</v>
      </c>
      <c r="B29" s="90" t="s">
        <v>13</v>
      </c>
      <c r="C29" s="90" t="s">
        <v>13</v>
      </c>
      <c r="D29" s="91" t="s">
        <v>61</v>
      </c>
      <c r="E29" s="90" t="s">
        <v>13</v>
      </c>
      <c r="F29" s="92">
        <v>2171440</v>
      </c>
      <c r="G29" s="92">
        <v>2212440</v>
      </c>
      <c r="H29" s="93">
        <v>2069988.5199999998</v>
      </c>
      <c r="I29" s="93"/>
      <c r="J29" s="94"/>
      <c r="K29" s="92">
        <v>1445374.4</v>
      </c>
      <c r="L29" s="93">
        <v>44.6</v>
      </c>
      <c r="M29" s="62">
        <f t="shared" si="0"/>
        <v>2069988.5199999998</v>
      </c>
    </row>
    <row r="30" spans="1:13" x14ac:dyDescent="0.25">
      <c r="A30" s="90" t="s">
        <v>62</v>
      </c>
      <c r="B30" s="90" t="s">
        <v>13</v>
      </c>
      <c r="C30" s="90" t="s">
        <v>13</v>
      </c>
      <c r="D30" s="91" t="s">
        <v>63</v>
      </c>
      <c r="E30" s="90" t="s">
        <v>13</v>
      </c>
      <c r="F30" s="92">
        <v>697715</v>
      </c>
      <c r="G30" s="92">
        <v>697715</v>
      </c>
      <c r="H30" s="93">
        <v>521045.49999999994</v>
      </c>
      <c r="I30" s="93"/>
      <c r="J30" s="94"/>
      <c r="K30" s="92">
        <v>505972.66</v>
      </c>
      <c r="L30" s="93">
        <v>14.6</v>
      </c>
      <c r="M30" s="62">
        <f t="shared" si="0"/>
        <v>521045.49999999994</v>
      </c>
    </row>
    <row r="31" spans="1:13" x14ac:dyDescent="0.25">
      <c r="A31" s="90" t="s">
        <v>64</v>
      </c>
      <c r="B31" s="90" t="s">
        <v>13</v>
      </c>
      <c r="C31" s="90" t="s">
        <v>13</v>
      </c>
      <c r="D31" s="91" t="s">
        <v>65</v>
      </c>
      <c r="E31" s="90" t="s">
        <v>13</v>
      </c>
      <c r="F31" s="92">
        <v>993120</v>
      </c>
      <c r="G31" s="92">
        <v>985470</v>
      </c>
      <c r="H31" s="93">
        <v>874563.74999999988</v>
      </c>
      <c r="I31" s="93"/>
      <c r="J31" s="94"/>
      <c r="K31" s="92">
        <v>850370.14</v>
      </c>
      <c r="L31" s="93">
        <v>20.100000000000001</v>
      </c>
      <c r="M31" s="62">
        <f t="shared" si="0"/>
        <v>874563.74999999988</v>
      </c>
    </row>
    <row r="32" spans="1:13" x14ac:dyDescent="0.25">
      <c r="A32" s="90" t="s">
        <v>576</v>
      </c>
      <c r="B32" s="90" t="s">
        <v>13</v>
      </c>
      <c r="C32" s="90" t="s">
        <v>13</v>
      </c>
      <c r="D32" s="91" t="s">
        <v>577</v>
      </c>
      <c r="E32" s="90" t="s">
        <v>13</v>
      </c>
      <c r="F32" s="92">
        <v>0</v>
      </c>
      <c r="G32" s="92">
        <v>0</v>
      </c>
      <c r="H32" s="93">
        <v>136.56</v>
      </c>
      <c r="I32" s="93"/>
      <c r="J32" s="94"/>
      <c r="K32" s="92">
        <v>399198.22</v>
      </c>
      <c r="L32" s="93">
        <v>3.1</v>
      </c>
      <c r="M32" s="62">
        <f t="shared" si="0"/>
        <v>136.56</v>
      </c>
    </row>
    <row r="33" spans="1:13" x14ac:dyDescent="0.25">
      <c r="A33" s="90" t="s">
        <v>66</v>
      </c>
      <c r="B33" s="90" t="s">
        <v>13</v>
      </c>
      <c r="C33" s="90" t="s">
        <v>13</v>
      </c>
      <c r="D33" s="91" t="s">
        <v>67</v>
      </c>
      <c r="E33" s="90" t="s">
        <v>13</v>
      </c>
      <c r="F33" s="92">
        <v>1352892</v>
      </c>
      <c r="G33" s="92">
        <v>1387892</v>
      </c>
      <c r="H33" s="93">
        <v>1374052.5899999999</v>
      </c>
      <c r="I33" s="93"/>
      <c r="J33" s="94"/>
      <c r="K33" s="92">
        <v>1256815.75</v>
      </c>
      <c r="L33" s="93">
        <v>9.5</v>
      </c>
      <c r="M33" s="62">
        <f t="shared" si="0"/>
        <v>1374052.5899999999</v>
      </c>
    </row>
    <row r="34" spans="1:13" x14ac:dyDescent="0.25">
      <c r="A34" s="90" t="s">
        <v>68</v>
      </c>
      <c r="B34" s="90" t="s">
        <v>13</v>
      </c>
      <c r="C34" s="90" t="s">
        <v>13</v>
      </c>
      <c r="D34" s="91" t="s">
        <v>548</v>
      </c>
      <c r="E34" s="90" t="s">
        <v>13</v>
      </c>
      <c r="F34" s="92">
        <v>11520000</v>
      </c>
      <c r="G34" s="92">
        <v>11520000</v>
      </c>
      <c r="H34" s="93">
        <v>8827976.910000002</v>
      </c>
      <c r="I34" s="93"/>
      <c r="J34" s="94"/>
      <c r="K34" s="92">
        <v>15197734.369999999</v>
      </c>
      <c r="L34" s="93">
        <v>7.2</v>
      </c>
      <c r="M34" s="62">
        <f t="shared" si="0"/>
        <v>8827976.910000002</v>
      </c>
    </row>
    <row r="35" spans="1:13" x14ac:dyDescent="0.25">
      <c r="A35" s="90" t="s">
        <v>69</v>
      </c>
      <c r="B35" s="90" t="s">
        <v>13</v>
      </c>
      <c r="C35" s="90" t="s">
        <v>13</v>
      </c>
      <c r="D35" s="91" t="s">
        <v>582</v>
      </c>
      <c r="E35" s="90" t="s">
        <v>13</v>
      </c>
      <c r="F35" s="92">
        <v>29296336</v>
      </c>
      <c r="G35" s="92">
        <v>29428279</v>
      </c>
      <c r="H35" s="93">
        <v>29273257.019999988</v>
      </c>
      <c r="I35" s="93"/>
      <c r="J35" s="94"/>
      <c r="K35" s="92">
        <v>24707497.469999999</v>
      </c>
      <c r="L35" s="93">
        <v>19.8</v>
      </c>
      <c r="M35" s="62">
        <f t="shared" si="0"/>
        <v>29273257.019999988</v>
      </c>
    </row>
    <row r="36" spans="1:13" x14ac:dyDescent="0.25">
      <c r="A36" s="90">
        <v>10001211</v>
      </c>
      <c r="B36" s="90"/>
      <c r="C36" s="90"/>
      <c r="D36" s="91" t="s">
        <v>584</v>
      </c>
      <c r="E36" s="90"/>
      <c r="F36" s="92">
        <v>0</v>
      </c>
      <c r="G36" s="92">
        <v>0</v>
      </c>
      <c r="H36" s="93">
        <v>326999.55</v>
      </c>
      <c r="I36" s="93"/>
      <c r="J36" s="94"/>
      <c r="K36" s="92"/>
      <c r="L36" s="93"/>
    </row>
    <row r="37" spans="1:13" x14ac:dyDescent="0.25">
      <c r="A37" s="90" t="s">
        <v>70</v>
      </c>
      <c r="B37" s="90" t="s">
        <v>13</v>
      </c>
      <c r="C37" s="90" t="s">
        <v>13</v>
      </c>
      <c r="D37" s="91" t="s">
        <v>71</v>
      </c>
      <c r="E37" s="90" t="s">
        <v>13</v>
      </c>
      <c r="F37" s="92">
        <v>11812985</v>
      </c>
      <c r="G37" s="92">
        <v>12123863</v>
      </c>
      <c r="H37" s="93">
        <v>11254425.320000004</v>
      </c>
      <c r="I37" s="93"/>
      <c r="J37" s="94"/>
      <c r="K37" s="92">
        <v>9691029.6899999995</v>
      </c>
      <c r="L37" s="93">
        <v>14.9</v>
      </c>
      <c r="M37" s="62">
        <f t="shared" si="0"/>
        <v>11254425.320000004</v>
      </c>
    </row>
    <row r="38" spans="1:13" x14ac:dyDescent="0.25">
      <c r="A38" s="90" t="s">
        <v>72</v>
      </c>
      <c r="B38" s="90" t="s">
        <v>13</v>
      </c>
      <c r="C38" s="90" t="s">
        <v>13</v>
      </c>
      <c r="D38" s="91" t="s">
        <v>542</v>
      </c>
      <c r="E38" s="90" t="s">
        <v>13</v>
      </c>
      <c r="F38" s="92">
        <v>376889</v>
      </c>
      <c r="G38" s="92">
        <v>376189</v>
      </c>
      <c r="H38" s="93">
        <v>351020.75</v>
      </c>
      <c r="I38" s="93"/>
      <c r="J38" s="94"/>
      <c r="K38" s="92">
        <v>357529.78</v>
      </c>
      <c r="L38" s="93">
        <v>10.8</v>
      </c>
      <c r="M38" s="62">
        <f t="shared" si="0"/>
        <v>351020.75</v>
      </c>
    </row>
    <row r="39" spans="1:13" x14ac:dyDescent="0.25">
      <c r="A39" s="90" t="s">
        <v>502</v>
      </c>
      <c r="B39" s="90" t="s">
        <v>13</v>
      </c>
      <c r="C39" s="90" t="s">
        <v>13</v>
      </c>
      <c r="D39" s="91" t="s">
        <v>526</v>
      </c>
      <c r="E39" s="90" t="s">
        <v>13</v>
      </c>
      <c r="F39" s="92">
        <v>0</v>
      </c>
      <c r="G39" s="92">
        <v>800230</v>
      </c>
      <c r="H39" s="93">
        <v>792002.72</v>
      </c>
      <c r="I39" s="93"/>
      <c r="J39" s="94"/>
      <c r="K39" s="92">
        <v>761904.3</v>
      </c>
      <c r="L39" s="93">
        <v>13.8</v>
      </c>
      <c r="M39" s="62">
        <f t="shared" si="0"/>
        <v>792002.72</v>
      </c>
    </row>
    <row r="40" spans="1:13" x14ac:dyDescent="0.25">
      <c r="A40" s="90" t="s">
        <v>73</v>
      </c>
      <c r="B40" s="90" t="s">
        <v>13</v>
      </c>
      <c r="C40" s="90" t="s">
        <v>13</v>
      </c>
      <c r="D40" s="91" t="s">
        <v>74</v>
      </c>
      <c r="E40" s="90" t="s">
        <v>13</v>
      </c>
      <c r="F40" s="92">
        <v>7445410</v>
      </c>
      <c r="G40" s="92">
        <v>7445410</v>
      </c>
      <c r="H40" s="93">
        <v>6503582.9500000002</v>
      </c>
      <c r="I40" s="93"/>
      <c r="J40" s="94"/>
      <c r="K40" s="92">
        <v>5102536.17</v>
      </c>
      <c r="L40" s="93">
        <v>27.9</v>
      </c>
      <c r="M40" s="62">
        <f t="shared" si="0"/>
        <v>6503582.9500000002</v>
      </c>
    </row>
    <row r="41" spans="1:13" x14ac:dyDescent="0.25">
      <c r="A41" s="90" t="s">
        <v>75</v>
      </c>
      <c r="B41" s="90" t="s">
        <v>13</v>
      </c>
      <c r="C41" s="90" t="s">
        <v>13</v>
      </c>
      <c r="D41" s="91" t="s">
        <v>76</v>
      </c>
      <c r="E41" s="90" t="s">
        <v>13</v>
      </c>
      <c r="F41" s="92">
        <v>1812675</v>
      </c>
      <c r="G41" s="92">
        <v>1816718.44</v>
      </c>
      <c r="H41" s="93">
        <v>1554562.9600000004</v>
      </c>
      <c r="I41" s="93"/>
      <c r="J41" s="94"/>
      <c r="K41" s="92">
        <v>1296969.93</v>
      </c>
      <c r="L41" s="93">
        <v>14.9</v>
      </c>
      <c r="M41" s="62">
        <f t="shared" si="0"/>
        <v>1554562.9600000004</v>
      </c>
    </row>
    <row r="42" spans="1:13" x14ac:dyDescent="0.25">
      <c r="A42" s="90" t="s">
        <v>77</v>
      </c>
      <c r="B42" s="90" t="s">
        <v>13</v>
      </c>
      <c r="C42" s="90" t="s">
        <v>13</v>
      </c>
      <c r="D42" s="91" t="s">
        <v>78</v>
      </c>
      <c r="E42" s="90" t="s">
        <v>13</v>
      </c>
      <c r="F42" s="92">
        <v>1265838</v>
      </c>
      <c r="G42" s="92">
        <v>1311944</v>
      </c>
      <c r="H42" s="93">
        <v>1295693.5100000002</v>
      </c>
      <c r="I42" s="93"/>
      <c r="J42" s="94"/>
      <c r="K42" s="92">
        <v>667733.34</v>
      </c>
      <c r="L42" s="93">
        <v>47</v>
      </c>
      <c r="M42" s="62">
        <f t="shared" si="0"/>
        <v>1295693.5100000002</v>
      </c>
    </row>
    <row r="43" spans="1:13" x14ac:dyDescent="0.25">
      <c r="A43" s="90" t="s">
        <v>79</v>
      </c>
      <c r="B43" s="90" t="s">
        <v>13</v>
      </c>
      <c r="C43" s="90" t="s">
        <v>13</v>
      </c>
      <c r="D43" s="91" t="s">
        <v>80</v>
      </c>
      <c r="E43" s="90" t="s">
        <v>13</v>
      </c>
      <c r="F43" s="92">
        <v>4205931</v>
      </c>
      <c r="G43" s="92">
        <v>5221703</v>
      </c>
      <c r="H43" s="93">
        <v>4387634.09</v>
      </c>
      <c r="I43" s="93"/>
      <c r="J43" s="94"/>
      <c r="K43" s="92">
        <v>2812296</v>
      </c>
      <c r="L43" s="93">
        <v>28.9</v>
      </c>
      <c r="M43" s="62">
        <f t="shared" si="0"/>
        <v>4387634.09</v>
      </c>
    </row>
    <row r="44" spans="1:13" x14ac:dyDescent="0.25">
      <c r="A44" s="90" t="s">
        <v>81</v>
      </c>
      <c r="B44" s="90" t="s">
        <v>13</v>
      </c>
      <c r="C44" s="90" t="s">
        <v>13</v>
      </c>
      <c r="D44" s="91" t="s">
        <v>82</v>
      </c>
      <c r="E44" s="90" t="s">
        <v>13</v>
      </c>
      <c r="F44" s="92">
        <v>7173266</v>
      </c>
      <c r="G44" s="92">
        <v>7364527</v>
      </c>
      <c r="H44" s="93">
        <v>6656102.4699999997</v>
      </c>
      <c r="I44" s="93"/>
      <c r="J44" s="94"/>
      <c r="K44" s="92">
        <v>4270917.6100000003</v>
      </c>
      <c r="L44" s="93">
        <v>35.5</v>
      </c>
      <c r="M44" s="62">
        <f t="shared" si="0"/>
        <v>6656102.4699999997</v>
      </c>
    </row>
    <row r="45" spans="1:13" x14ac:dyDescent="0.25">
      <c r="A45" s="90" t="s">
        <v>83</v>
      </c>
      <c r="B45" s="90" t="s">
        <v>13</v>
      </c>
      <c r="C45" s="90" t="s">
        <v>13</v>
      </c>
      <c r="D45" s="91" t="s">
        <v>527</v>
      </c>
      <c r="E45" s="90" t="s">
        <v>13</v>
      </c>
      <c r="F45" s="92">
        <v>1023257</v>
      </c>
      <c r="G45" s="92">
        <v>698959</v>
      </c>
      <c r="H45" s="93">
        <v>535197.03999999992</v>
      </c>
      <c r="I45" s="93"/>
      <c r="J45" s="94"/>
      <c r="K45" s="92">
        <v>933074.86</v>
      </c>
      <c r="L45" s="93">
        <v>7.5</v>
      </c>
      <c r="M45" s="62">
        <f t="shared" si="0"/>
        <v>535197.03999999992</v>
      </c>
    </row>
    <row r="46" spans="1:13" x14ac:dyDescent="0.25">
      <c r="A46" s="90" t="s">
        <v>84</v>
      </c>
      <c r="B46" s="90" t="s">
        <v>13</v>
      </c>
      <c r="C46" s="90" t="s">
        <v>13</v>
      </c>
      <c r="D46" s="91" t="s">
        <v>85</v>
      </c>
      <c r="E46" s="90" t="s">
        <v>13</v>
      </c>
      <c r="F46" s="92">
        <v>1901155</v>
      </c>
      <c r="G46" s="92">
        <v>1901155</v>
      </c>
      <c r="H46" s="93">
        <v>1698287</v>
      </c>
      <c r="I46" s="93"/>
      <c r="J46" s="94"/>
      <c r="K46" s="92">
        <v>1537923.7</v>
      </c>
      <c r="L46" s="93">
        <v>12.2</v>
      </c>
      <c r="M46" s="62">
        <f t="shared" si="0"/>
        <v>1698287</v>
      </c>
    </row>
    <row r="47" spans="1:13" x14ac:dyDescent="0.25">
      <c r="A47" s="90" t="s">
        <v>86</v>
      </c>
      <c r="B47" s="90" t="s">
        <v>13</v>
      </c>
      <c r="C47" s="90" t="s">
        <v>13</v>
      </c>
      <c r="D47" s="91" t="s">
        <v>87</v>
      </c>
      <c r="E47" s="90" t="s">
        <v>13</v>
      </c>
      <c r="F47" s="92">
        <v>274476</v>
      </c>
      <c r="G47" s="92">
        <v>274476</v>
      </c>
      <c r="H47" s="93">
        <v>201579.33</v>
      </c>
      <c r="I47" s="93"/>
      <c r="J47" s="94"/>
      <c r="K47" s="92">
        <v>152938.13</v>
      </c>
      <c r="L47" s="93">
        <v>18.8</v>
      </c>
      <c r="M47" s="62">
        <f t="shared" si="0"/>
        <v>201579.33</v>
      </c>
    </row>
    <row r="48" spans="1:13" x14ac:dyDescent="0.25">
      <c r="A48" s="90" t="s">
        <v>88</v>
      </c>
      <c r="B48" s="90" t="s">
        <v>13</v>
      </c>
      <c r="C48" s="90" t="s">
        <v>13</v>
      </c>
      <c r="D48" s="91" t="s">
        <v>89</v>
      </c>
      <c r="E48" s="90" t="s">
        <v>13</v>
      </c>
      <c r="F48" s="92">
        <v>398000</v>
      </c>
      <c r="G48" s="92">
        <v>398000</v>
      </c>
      <c r="H48" s="93">
        <v>398000</v>
      </c>
      <c r="I48" s="93"/>
      <c r="J48" s="94"/>
      <c r="K48" s="92">
        <v>398000</v>
      </c>
      <c r="L48" s="93">
        <v>0</v>
      </c>
      <c r="M48" s="62">
        <f t="shared" si="0"/>
        <v>398000</v>
      </c>
    </row>
    <row r="49" spans="1:13" x14ac:dyDescent="0.25">
      <c r="A49" s="90" t="s">
        <v>90</v>
      </c>
      <c r="B49" s="90" t="s">
        <v>13</v>
      </c>
      <c r="C49" s="90" t="s">
        <v>13</v>
      </c>
      <c r="D49" s="91" t="s">
        <v>91</v>
      </c>
      <c r="E49" s="90" t="s">
        <v>13</v>
      </c>
      <c r="F49" s="92">
        <v>4264953</v>
      </c>
      <c r="G49" s="92">
        <v>4660251</v>
      </c>
      <c r="H49" s="93">
        <v>2965948.3299999991</v>
      </c>
      <c r="I49" s="93"/>
      <c r="J49" s="94"/>
      <c r="K49" s="92">
        <v>2905303.22</v>
      </c>
      <c r="L49" s="93">
        <v>18.100000000000001</v>
      </c>
      <c r="M49" s="62">
        <f t="shared" si="0"/>
        <v>2965948.3299999991</v>
      </c>
    </row>
    <row r="50" spans="1:13" x14ac:dyDescent="0.25">
      <c r="A50" s="90" t="s">
        <v>92</v>
      </c>
      <c r="B50" s="90" t="s">
        <v>13</v>
      </c>
      <c r="C50" s="90" t="s">
        <v>13</v>
      </c>
      <c r="D50" s="91" t="s">
        <v>93</v>
      </c>
      <c r="E50" s="90" t="s">
        <v>13</v>
      </c>
      <c r="F50" s="92">
        <v>2022383</v>
      </c>
      <c r="G50" s="92">
        <v>2122383</v>
      </c>
      <c r="H50" s="93">
        <v>1591910.6300000001</v>
      </c>
      <c r="I50" s="93"/>
      <c r="J50" s="94"/>
      <c r="K50" s="92">
        <v>1330772.55</v>
      </c>
      <c r="L50" s="93">
        <v>20.6</v>
      </c>
      <c r="M50" s="62">
        <f t="shared" si="0"/>
        <v>1591910.6300000001</v>
      </c>
    </row>
    <row r="51" spans="1:13" x14ac:dyDescent="0.25">
      <c r="A51" s="90" t="s">
        <v>578</v>
      </c>
      <c r="B51" s="90" t="s">
        <v>13</v>
      </c>
      <c r="C51" s="90" t="s">
        <v>13</v>
      </c>
      <c r="D51" s="91" t="s">
        <v>579</v>
      </c>
      <c r="E51" s="90" t="s">
        <v>13</v>
      </c>
      <c r="F51" s="92"/>
      <c r="G51" s="92"/>
      <c r="H51" s="93"/>
      <c r="I51" s="93"/>
      <c r="J51" s="94"/>
      <c r="K51" s="92">
        <v>291442.3</v>
      </c>
      <c r="L51" s="93">
        <v>6.2</v>
      </c>
      <c r="M51" s="62">
        <f t="shared" si="0"/>
        <v>0</v>
      </c>
    </row>
    <row r="52" spans="1:13" x14ac:dyDescent="0.25">
      <c r="A52" s="90" t="s">
        <v>94</v>
      </c>
      <c r="B52" s="90" t="s">
        <v>13</v>
      </c>
      <c r="C52" s="90" t="s">
        <v>13</v>
      </c>
      <c r="D52" s="91" t="s">
        <v>95</v>
      </c>
      <c r="E52" s="90" t="s">
        <v>13</v>
      </c>
      <c r="F52" s="92">
        <v>4473435</v>
      </c>
      <c r="G52" s="92">
        <v>4473435</v>
      </c>
      <c r="H52" s="93">
        <v>4393270.1099999994</v>
      </c>
      <c r="I52" s="93"/>
      <c r="J52" s="94"/>
      <c r="K52" s="92">
        <v>4189549.46</v>
      </c>
      <c r="L52" s="93">
        <v>13</v>
      </c>
      <c r="M52" s="62">
        <f t="shared" si="0"/>
        <v>4393270.1099999994</v>
      </c>
    </row>
    <row r="53" spans="1:13" x14ac:dyDescent="0.25">
      <c r="A53" s="90">
        <v>10001698</v>
      </c>
      <c r="B53" s="90"/>
      <c r="C53" s="90"/>
      <c r="D53" s="91" t="s">
        <v>583</v>
      </c>
      <c r="E53" s="90"/>
      <c r="F53" s="92">
        <v>0</v>
      </c>
      <c r="G53" s="92">
        <v>300000</v>
      </c>
      <c r="H53" s="93">
        <v>0</v>
      </c>
      <c r="I53" s="93"/>
      <c r="J53" s="94"/>
      <c r="K53" s="92"/>
      <c r="L53" s="93"/>
    </row>
    <row r="54" spans="1:13" x14ac:dyDescent="0.25">
      <c r="A54" s="90" t="s">
        <v>96</v>
      </c>
      <c r="B54" s="90" t="s">
        <v>13</v>
      </c>
      <c r="C54" s="90" t="s">
        <v>13</v>
      </c>
      <c r="D54" s="91" t="s">
        <v>97</v>
      </c>
      <c r="E54" s="90" t="s">
        <v>13</v>
      </c>
      <c r="F54" s="92">
        <v>5111953</v>
      </c>
      <c r="G54" s="92">
        <v>28096989</v>
      </c>
      <c r="H54" s="93">
        <v>27949859</v>
      </c>
      <c r="I54" s="93"/>
      <c r="J54" s="94"/>
      <c r="K54" s="92">
        <v>8445870</v>
      </c>
      <c r="L54" s="93">
        <v>0</v>
      </c>
      <c r="M54" s="62">
        <f t="shared" si="0"/>
        <v>27949859</v>
      </c>
    </row>
    <row r="55" spans="1:13" x14ac:dyDescent="0.25">
      <c r="A55" s="90" t="s">
        <v>13</v>
      </c>
      <c r="B55" s="90" t="s">
        <v>13</v>
      </c>
      <c r="C55" s="90" t="s">
        <v>13</v>
      </c>
      <c r="D55" s="91" t="s">
        <v>98</v>
      </c>
      <c r="E55" s="90" t="s">
        <v>13</v>
      </c>
      <c r="F55" s="92"/>
      <c r="G55" s="92"/>
      <c r="H55" s="93"/>
      <c r="I55" s="93"/>
      <c r="J55" s="94"/>
      <c r="K55" s="92">
        <v>0</v>
      </c>
      <c r="L55" s="93">
        <v>0</v>
      </c>
      <c r="M55" s="62">
        <f t="shared" si="0"/>
        <v>0</v>
      </c>
    </row>
    <row r="56" spans="1:13" x14ac:dyDescent="0.25">
      <c r="A56" s="90" t="s">
        <v>13</v>
      </c>
      <c r="B56" s="90" t="s">
        <v>13</v>
      </c>
      <c r="C56" s="90" t="s">
        <v>13</v>
      </c>
      <c r="D56" s="91" t="s">
        <v>99</v>
      </c>
      <c r="E56" s="90" t="s">
        <v>13</v>
      </c>
      <c r="F56" s="92">
        <f>SUM(F3:F54)</f>
        <v>134371157</v>
      </c>
      <c r="G56" s="92">
        <f>SUM(G3:G54)</f>
        <v>167515771.28</v>
      </c>
      <c r="H56" s="92">
        <f>SUM(H3:H54)</f>
        <v>153480699.29000002</v>
      </c>
      <c r="I56" s="93"/>
      <c r="J56" s="94"/>
      <c r="K56" s="92">
        <v>125523613.47</v>
      </c>
      <c r="L56" s="93">
        <v>17.5</v>
      </c>
      <c r="M56" s="62">
        <f t="shared" si="0"/>
        <v>153480699.29000002</v>
      </c>
    </row>
    <row r="57" spans="1:13" x14ac:dyDescent="0.25">
      <c r="A57" s="90" t="s">
        <v>13</v>
      </c>
      <c r="B57" s="90" t="s">
        <v>13</v>
      </c>
      <c r="C57" s="90" t="s">
        <v>13</v>
      </c>
      <c r="D57" s="91" t="s">
        <v>100</v>
      </c>
      <c r="E57" s="90" t="s">
        <v>13</v>
      </c>
      <c r="F57" s="92"/>
      <c r="G57" s="92"/>
      <c r="H57" s="93"/>
      <c r="I57" s="93"/>
      <c r="J57" s="94"/>
      <c r="K57" s="92">
        <v>125523613.47</v>
      </c>
      <c r="L57" s="93">
        <v>17.5</v>
      </c>
      <c r="M57" s="62">
        <f t="shared" si="0"/>
        <v>0</v>
      </c>
    </row>
    <row r="58" spans="1:13" x14ac:dyDescent="0.25">
      <c r="M58" s="62">
        <f t="shared" ref="M58:M73" si="1">+H58</f>
        <v>0</v>
      </c>
    </row>
    <row r="59" spans="1:13" x14ac:dyDescent="0.25">
      <c r="M59" s="62">
        <f t="shared" si="1"/>
        <v>0</v>
      </c>
    </row>
    <row r="60" spans="1:13" x14ac:dyDescent="0.25">
      <c r="M60" s="62">
        <f t="shared" si="1"/>
        <v>0</v>
      </c>
    </row>
    <row r="61" spans="1:13" x14ac:dyDescent="0.25">
      <c r="M61" s="62">
        <f t="shared" si="1"/>
        <v>0</v>
      </c>
    </row>
    <row r="62" spans="1:13" x14ac:dyDescent="0.25">
      <c r="M62" s="62">
        <f t="shared" si="1"/>
        <v>0</v>
      </c>
    </row>
    <row r="63" spans="1:13" x14ac:dyDescent="0.25">
      <c r="M63" s="62">
        <f t="shared" si="1"/>
        <v>0</v>
      </c>
    </row>
    <row r="64" spans="1:13" x14ac:dyDescent="0.25">
      <c r="M64" s="62">
        <f t="shared" si="1"/>
        <v>0</v>
      </c>
    </row>
    <row r="65" spans="13:13" x14ac:dyDescent="0.25">
      <c r="M65" s="62">
        <f t="shared" si="1"/>
        <v>0</v>
      </c>
    </row>
    <row r="66" spans="13:13" x14ac:dyDescent="0.25">
      <c r="M66" s="62">
        <f t="shared" si="1"/>
        <v>0</v>
      </c>
    </row>
    <row r="67" spans="13:13" x14ac:dyDescent="0.25">
      <c r="M67" s="62">
        <f t="shared" si="1"/>
        <v>0</v>
      </c>
    </row>
    <row r="68" spans="13:13" x14ac:dyDescent="0.25">
      <c r="M68" s="62">
        <f t="shared" si="1"/>
        <v>0</v>
      </c>
    </row>
    <row r="69" spans="13:13" x14ac:dyDescent="0.25">
      <c r="M69" s="62">
        <f t="shared" si="1"/>
        <v>0</v>
      </c>
    </row>
    <row r="70" spans="13:13" x14ac:dyDescent="0.25">
      <c r="M70" s="62">
        <f t="shared" si="1"/>
        <v>0</v>
      </c>
    </row>
    <row r="71" spans="13:13" x14ac:dyDescent="0.25">
      <c r="M71" s="62">
        <f t="shared" si="1"/>
        <v>0</v>
      </c>
    </row>
    <row r="72" spans="13:13" x14ac:dyDescent="0.25">
      <c r="M72" s="62">
        <f t="shared" si="1"/>
        <v>0</v>
      </c>
    </row>
    <row r="73" spans="13:13" x14ac:dyDescent="0.25">
      <c r="M73" s="62">
        <f t="shared" si="1"/>
        <v>0</v>
      </c>
    </row>
    <row r="74" spans="13:13" x14ac:dyDescent="0.25">
      <c r="M74" s="62">
        <f t="shared" ref="M74:M137" si="2">+H74</f>
        <v>0</v>
      </c>
    </row>
    <row r="75" spans="13:13" x14ac:dyDescent="0.25">
      <c r="M75" s="62">
        <f t="shared" si="2"/>
        <v>0</v>
      </c>
    </row>
    <row r="76" spans="13:13" x14ac:dyDescent="0.25">
      <c r="M76" s="62">
        <f t="shared" si="2"/>
        <v>0</v>
      </c>
    </row>
    <row r="77" spans="13:13" x14ac:dyDescent="0.25">
      <c r="M77" s="62">
        <f t="shared" si="2"/>
        <v>0</v>
      </c>
    </row>
    <row r="78" spans="13:13" x14ac:dyDescent="0.25">
      <c r="M78" s="62">
        <f t="shared" si="2"/>
        <v>0</v>
      </c>
    </row>
    <row r="79" spans="13:13" x14ac:dyDescent="0.25">
      <c r="M79" s="62">
        <f t="shared" si="2"/>
        <v>0</v>
      </c>
    </row>
    <row r="80" spans="13:13" x14ac:dyDescent="0.25">
      <c r="M80" s="62">
        <f t="shared" si="2"/>
        <v>0</v>
      </c>
    </row>
    <row r="81" spans="13:13" x14ac:dyDescent="0.25">
      <c r="M81" s="62">
        <f t="shared" si="2"/>
        <v>0</v>
      </c>
    </row>
    <row r="82" spans="13:13" x14ac:dyDescent="0.25">
      <c r="M82" s="62">
        <f t="shared" si="2"/>
        <v>0</v>
      </c>
    </row>
    <row r="83" spans="13:13" x14ac:dyDescent="0.25">
      <c r="M83" s="62">
        <f t="shared" si="2"/>
        <v>0</v>
      </c>
    </row>
    <row r="84" spans="13:13" x14ac:dyDescent="0.25">
      <c r="M84" s="62">
        <f t="shared" si="2"/>
        <v>0</v>
      </c>
    </row>
    <row r="85" spans="13:13" x14ac:dyDescent="0.25">
      <c r="M85" s="62">
        <f t="shared" si="2"/>
        <v>0</v>
      </c>
    </row>
    <row r="86" spans="13:13" x14ac:dyDescent="0.25">
      <c r="M86" s="62">
        <f t="shared" si="2"/>
        <v>0</v>
      </c>
    </row>
    <row r="87" spans="13:13" x14ac:dyDescent="0.25">
      <c r="M87" s="62">
        <f t="shared" si="2"/>
        <v>0</v>
      </c>
    </row>
    <row r="88" spans="13:13" x14ac:dyDescent="0.25">
      <c r="M88" s="62">
        <f t="shared" si="2"/>
        <v>0</v>
      </c>
    </row>
    <row r="89" spans="13:13" x14ac:dyDescent="0.25">
      <c r="M89" s="62">
        <f t="shared" si="2"/>
        <v>0</v>
      </c>
    </row>
    <row r="90" spans="13:13" x14ac:dyDescent="0.25">
      <c r="M90" s="62">
        <f t="shared" si="2"/>
        <v>0</v>
      </c>
    </row>
    <row r="91" spans="13:13" x14ac:dyDescent="0.25">
      <c r="M91" s="62">
        <f t="shared" si="2"/>
        <v>0</v>
      </c>
    </row>
    <row r="92" spans="13:13" x14ac:dyDescent="0.25">
      <c r="M92" s="62">
        <f t="shared" si="2"/>
        <v>0</v>
      </c>
    </row>
    <row r="93" spans="13:13" x14ac:dyDescent="0.25">
      <c r="M93" s="62">
        <f t="shared" si="2"/>
        <v>0</v>
      </c>
    </row>
    <row r="94" spans="13:13" x14ac:dyDescent="0.25">
      <c r="M94" s="62">
        <f t="shared" si="2"/>
        <v>0</v>
      </c>
    </row>
    <row r="95" spans="13:13" x14ac:dyDescent="0.25">
      <c r="M95" s="62">
        <f t="shared" si="2"/>
        <v>0</v>
      </c>
    </row>
    <row r="96" spans="13:13" x14ac:dyDescent="0.25">
      <c r="M96" s="62">
        <f t="shared" si="2"/>
        <v>0</v>
      </c>
    </row>
    <row r="97" spans="13:13" x14ac:dyDescent="0.25">
      <c r="M97" s="62">
        <f t="shared" si="2"/>
        <v>0</v>
      </c>
    </row>
    <row r="98" spans="13:13" x14ac:dyDescent="0.25">
      <c r="M98" s="62">
        <f t="shared" si="2"/>
        <v>0</v>
      </c>
    </row>
    <row r="99" spans="13:13" x14ac:dyDescent="0.25">
      <c r="M99" s="62">
        <f t="shared" si="2"/>
        <v>0</v>
      </c>
    </row>
    <row r="100" spans="13:13" x14ac:dyDescent="0.25">
      <c r="M100" s="62">
        <f t="shared" si="2"/>
        <v>0</v>
      </c>
    </row>
    <row r="101" spans="13:13" x14ac:dyDescent="0.25">
      <c r="M101" s="62">
        <f t="shared" si="2"/>
        <v>0</v>
      </c>
    </row>
    <row r="102" spans="13:13" x14ac:dyDescent="0.25">
      <c r="M102" s="62">
        <f t="shared" si="2"/>
        <v>0</v>
      </c>
    </row>
    <row r="103" spans="13:13" x14ac:dyDescent="0.25">
      <c r="M103" s="62">
        <f t="shared" si="2"/>
        <v>0</v>
      </c>
    </row>
    <row r="104" spans="13:13" x14ac:dyDescent="0.25">
      <c r="M104" s="62">
        <f t="shared" si="2"/>
        <v>0</v>
      </c>
    </row>
    <row r="105" spans="13:13" x14ac:dyDescent="0.25">
      <c r="M105" s="62">
        <f t="shared" si="2"/>
        <v>0</v>
      </c>
    </row>
    <row r="106" spans="13:13" x14ac:dyDescent="0.25">
      <c r="M106" s="62">
        <f t="shared" si="2"/>
        <v>0</v>
      </c>
    </row>
    <row r="107" spans="13:13" x14ac:dyDescent="0.25">
      <c r="M107" s="62">
        <f t="shared" si="2"/>
        <v>0</v>
      </c>
    </row>
    <row r="108" spans="13:13" x14ac:dyDescent="0.25">
      <c r="M108" s="62">
        <f t="shared" si="2"/>
        <v>0</v>
      </c>
    </row>
    <row r="109" spans="13:13" x14ac:dyDescent="0.25">
      <c r="M109" s="62">
        <f t="shared" si="2"/>
        <v>0</v>
      </c>
    </row>
    <row r="110" spans="13:13" x14ac:dyDescent="0.25">
      <c r="M110" s="62">
        <f t="shared" si="2"/>
        <v>0</v>
      </c>
    </row>
    <row r="111" spans="13:13" x14ac:dyDescent="0.25">
      <c r="M111" s="62">
        <f t="shared" si="2"/>
        <v>0</v>
      </c>
    </row>
    <row r="112" spans="13:13" x14ac:dyDescent="0.25">
      <c r="M112" s="62">
        <f t="shared" si="2"/>
        <v>0</v>
      </c>
    </row>
    <row r="113" spans="13:13" x14ac:dyDescent="0.25">
      <c r="M113" s="62">
        <f t="shared" si="2"/>
        <v>0</v>
      </c>
    </row>
    <row r="114" spans="13:13" x14ac:dyDescent="0.25">
      <c r="M114" s="62">
        <f t="shared" si="2"/>
        <v>0</v>
      </c>
    </row>
    <row r="115" spans="13:13" x14ac:dyDescent="0.25">
      <c r="M115" s="62">
        <f t="shared" si="2"/>
        <v>0</v>
      </c>
    </row>
    <row r="116" spans="13:13" x14ac:dyDescent="0.25">
      <c r="M116" s="62">
        <f t="shared" si="2"/>
        <v>0</v>
      </c>
    </row>
    <row r="117" spans="13:13" x14ac:dyDescent="0.25">
      <c r="M117" s="62">
        <f t="shared" si="2"/>
        <v>0</v>
      </c>
    </row>
    <row r="118" spans="13:13" x14ac:dyDescent="0.25">
      <c r="M118" s="62">
        <f t="shared" si="2"/>
        <v>0</v>
      </c>
    </row>
    <row r="119" spans="13:13" x14ac:dyDescent="0.25">
      <c r="M119" s="62">
        <f t="shared" si="2"/>
        <v>0</v>
      </c>
    </row>
    <row r="120" spans="13:13" x14ac:dyDescent="0.25">
      <c r="M120" s="62">
        <f t="shared" si="2"/>
        <v>0</v>
      </c>
    </row>
    <row r="121" spans="13:13" x14ac:dyDescent="0.25">
      <c r="M121" s="62">
        <f t="shared" si="2"/>
        <v>0</v>
      </c>
    </row>
    <row r="122" spans="13:13" x14ac:dyDescent="0.25">
      <c r="M122" s="62">
        <f t="shared" si="2"/>
        <v>0</v>
      </c>
    </row>
    <row r="123" spans="13:13" x14ac:dyDescent="0.25">
      <c r="M123" s="62">
        <f t="shared" si="2"/>
        <v>0</v>
      </c>
    </row>
    <row r="124" spans="13:13" x14ac:dyDescent="0.25">
      <c r="M124" s="62">
        <f t="shared" si="2"/>
        <v>0</v>
      </c>
    </row>
    <row r="125" spans="13:13" x14ac:dyDescent="0.25">
      <c r="M125" s="62">
        <f t="shared" si="2"/>
        <v>0</v>
      </c>
    </row>
    <row r="126" spans="13:13" x14ac:dyDescent="0.25">
      <c r="M126" s="62">
        <f t="shared" si="2"/>
        <v>0</v>
      </c>
    </row>
    <row r="127" spans="13:13" x14ac:dyDescent="0.25">
      <c r="M127" s="62">
        <f t="shared" si="2"/>
        <v>0</v>
      </c>
    </row>
    <row r="128" spans="13:13" x14ac:dyDescent="0.25">
      <c r="M128" s="62">
        <f t="shared" si="2"/>
        <v>0</v>
      </c>
    </row>
    <row r="129" spans="13:13" x14ac:dyDescent="0.25">
      <c r="M129" s="62">
        <f t="shared" si="2"/>
        <v>0</v>
      </c>
    </row>
    <row r="130" spans="13:13" x14ac:dyDescent="0.25">
      <c r="M130" s="62">
        <f t="shared" si="2"/>
        <v>0</v>
      </c>
    </row>
    <row r="131" spans="13:13" x14ac:dyDescent="0.25">
      <c r="M131" s="62">
        <f t="shared" si="2"/>
        <v>0</v>
      </c>
    </row>
    <row r="132" spans="13:13" x14ac:dyDescent="0.25">
      <c r="M132" s="62">
        <f t="shared" si="2"/>
        <v>0</v>
      </c>
    </row>
    <row r="133" spans="13:13" x14ac:dyDescent="0.25">
      <c r="M133" s="62">
        <f t="shared" si="2"/>
        <v>0</v>
      </c>
    </row>
    <row r="134" spans="13:13" x14ac:dyDescent="0.25">
      <c r="M134" s="62">
        <f t="shared" si="2"/>
        <v>0</v>
      </c>
    </row>
    <row r="135" spans="13:13" x14ac:dyDescent="0.25">
      <c r="M135" s="62">
        <f t="shared" si="2"/>
        <v>0</v>
      </c>
    </row>
    <row r="136" spans="13:13" x14ac:dyDescent="0.25">
      <c r="M136" s="62">
        <f t="shared" si="2"/>
        <v>0</v>
      </c>
    </row>
    <row r="137" spans="13:13" x14ac:dyDescent="0.25">
      <c r="M137" s="62">
        <f t="shared" si="2"/>
        <v>0</v>
      </c>
    </row>
    <row r="138" spans="13:13" x14ac:dyDescent="0.25">
      <c r="M138" s="62">
        <f t="shared" ref="M138:M189" si="3">+H138</f>
        <v>0</v>
      </c>
    </row>
    <row r="139" spans="13:13" x14ac:dyDescent="0.25">
      <c r="M139" s="62">
        <f t="shared" si="3"/>
        <v>0</v>
      </c>
    </row>
    <row r="140" spans="13:13" x14ac:dyDescent="0.25">
      <c r="M140" s="62">
        <f t="shared" si="3"/>
        <v>0</v>
      </c>
    </row>
    <row r="141" spans="13:13" x14ac:dyDescent="0.25">
      <c r="M141" s="62">
        <f t="shared" si="3"/>
        <v>0</v>
      </c>
    </row>
    <row r="142" spans="13:13" x14ac:dyDescent="0.25">
      <c r="M142" s="62">
        <f t="shared" si="3"/>
        <v>0</v>
      </c>
    </row>
    <row r="143" spans="13:13" x14ac:dyDescent="0.25">
      <c r="M143" s="62">
        <f t="shared" si="3"/>
        <v>0</v>
      </c>
    </row>
    <row r="144" spans="13:13" x14ac:dyDescent="0.25">
      <c r="M144" s="62">
        <f t="shared" si="3"/>
        <v>0</v>
      </c>
    </row>
    <row r="145" spans="13:13" x14ac:dyDescent="0.25">
      <c r="M145" s="62">
        <f t="shared" si="3"/>
        <v>0</v>
      </c>
    </row>
    <row r="146" spans="13:13" x14ac:dyDescent="0.25">
      <c r="M146" s="62">
        <f t="shared" si="3"/>
        <v>0</v>
      </c>
    </row>
    <row r="147" spans="13:13" x14ac:dyDescent="0.25">
      <c r="M147" s="62">
        <f t="shared" si="3"/>
        <v>0</v>
      </c>
    </row>
    <row r="148" spans="13:13" x14ac:dyDescent="0.25">
      <c r="M148" s="62">
        <f t="shared" si="3"/>
        <v>0</v>
      </c>
    </row>
    <row r="149" spans="13:13" x14ac:dyDescent="0.25">
      <c r="M149" s="62">
        <f t="shared" si="3"/>
        <v>0</v>
      </c>
    </row>
    <row r="150" spans="13:13" x14ac:dyDescent="0.25">
      <c r="M150" s="62">
        <f t="shared" si="3"/>
        <v>0</v>
      </c>
    </row>
    <row r="151" spans="13:13" x14ac:dyDescent="0.25">
      <c r="M151" s="62">
        <f t="shared" si="3"/>
        <v>0</v>
      </c>
    </row>
    <row r="152" spans="13:13" x14ac:dyDescent="0.25">
      <c r="M152" s="62">
        <f t="shared" si="3"/>
        <v>0</v>
      </c>
    </row>
    <row r="153" spans="13:13" x14ac:dyDescent="0.25">
      <c r="M153" s="62">
        <f t="shared" si="3"/>
        <v>0</v>
      </c>
    </row>
    <row r="154" spans="13:13" x14ac:dyDescent="0.25">
      <c r="M154" s="62">
        <f t="shared" si="3"/>
        <v>0</v>
      </c>
    </row>
    <row r="155" spans="13:13" x14ac:dyDescent="0.25">
      <c r="M155" s="62">
        <f t="shared" si="3"/>
        <v>0</v>
      </c>
    </row>
    <row r="156" spans="13:13" x14ac:dyDescent="0.25">
      <c r="M156" s="62">
        <f t="shared" si="3"/>
        <v>0</v>
      </c>
    </row>
    <row r="157" spans="13:13" x14ac:dyDescent="0.25">
      <c r="M157" s="62">
        <f t="shared" si="3"/>
        <v>0</v>
      </c>
    </row>
    <row r="158" spans="13:13" x14ac:dyDescent="0.25">
      <c r="M158" s="62">
        <f t="shared" si="3"/>
        <v>0</v>
      </c>
    </row>
    <row r="159" spans="13:13" x14ac:dyDescent="0.25">
      <c r="M159" s="62">
        <f t="shared" si="3"/>
        <v>0</v>
      </c>
    </row>
    <row r="160" spans="13:13" x14ac:dyDescent="0.25">
      <c r="M160" s="62">
        <f t="shared" si="3"/>
        <v>0</v>
      </c>
    </row>
    <row r="161" spans="13:13" x14ac:dyDescent="0.25">
      <c r="M161" s="62">
        <f t="shared" si="3"/>
        <v>0</v>
      </c>
    </row>
    <row r="162" spans="13:13" x14ac:dyDescent="0.25">
      <c r="M162" s="62">
        <f t="shared" si="3"/>
        <v>0</v>
      </c>
    </row>
    <row r="163" spans="13:13" x14ac:dyDescent="0.25">
      <c r="M163" s="62">
        <f t="shared" si="3"/>
        <v>0</v>
      </c>
    </row>
    <row r="164" spans="13:13" x14ac:dyDescent="0.25">
      <c r="M164" s="62">
        <f t="shared" si="3"/>
        <v>0</v>
      </c>
    </row>
    <row r="165" spans="13:13" x14ac:dyDescent="0.25">
      <c r="M165" s="62">
        <f t="shared" si="3"/>
        <v>0</v>
      </c>
    </row>
    <row r="166" spans="13:13" x14ac:dyDescent="0.25">
      <c r="M166" s="62">
        <f t="shared" si="3"/>
        <v>0</v>
      </c>
    </row>
    <row r="167" spans="13:13" x14ac:dyDescent="0.25">
      <c r="M167" s="62">
        <f t="shared" si="3"/>
        <v>0</v>
      </c>
    </row>
    <row r="168" spans="13:13" x14ac:dyDescent="0.25">
      <c r="M168" s="62">
        <f t="shared" si="3"/>
        <v>0</v>
      </c>
    </row>
    <row r="169" spans="13:13" x14ac:dyDescent="0.25">
      <c r="M169" s="62">
        <f t="shared" si="3"/>
        <v>0</v>
      </c>
    </row>
    <row r="170" spans="13:13" x14ac:dyDescent="0.25">
      <c r="M170" s="62">
        <f t="shared" si="3"/>
        <v>0</v>
      </c>
    </row>
    <row r="171" spans="13:13" x14ac:dyDescent="0.25">
      <c r="M171" s="62">
        <f t="shared" si="3"/>
        <v>0</v>
      </c>
    </row>
    <row r="172" spans="13:13" x14ac:dyDescent="0.25">
      <c r="M172" s="62">
        <f t="shared" si="3"/>
        <v>0</v>
      </c>
    </row>
    <row r="173" spans="13:13" x14ac:dyDescent="0.25">
      <c r="M173" s="62">
        <f t="shared" si="3"/>
        <v>0</v>
      </c>
    </row>
    <row r="174" spans="13:13" x14ac:dyDescent="0.25">
      <c r="M174" s="62">
        <f t="shared" si="3"/>
        <v>0</v>
      </c>
    </row>
    <row r="175" spans="13:13" x14ac:dyDescent="0.25">
      <c r="M175" s="62">
        <f t="shared" si="3"/>
        <v>0</v>
      </c>
    </row>
    <row r="176" spans="13:13" x14ac:dyDescent="0.25">
      <c r="M176" s="62">
        <f t="shared" si="3"/>
        <v>0</v>
      </c>
    </row>
    <row r="177" spans="13:13" x14ac:dyDescent="0.25">
      <c r="M177" s="62">
        <f t="shared" si="3"/>
        <v>0</v>
      </c>
    </row>
    <row r="178" spans="13:13" x14ac:dyDescent="0.25">
      <c r="M178" s="62">
        <f t="shared" si="3"/>
        <v>0</v>
      </c>
    </row>
    <row r="179" spans="13:13" x14ac:dyDescent="0.25">
      <c r="M179" s="62">
        <f t="shared" si="3"/>
        <v>0</v>
      </c>
    </row>
    <row r="180" spans="13:13" x14ac:dyDescent="0.25">
      <c r="M180" s="62">
        <f t="shared" si="3"/>
        <v>0</v>
      </c>
    </row>
    <row r="181" spans="13:13" x14ac:dyDescent="0.25">
      <c r="M181" s="62">
        <f t="shared" si="3"/>
        <v>0</v>
      </c>
    </row>
    <row r="182" spans="13:13" x14ac:dyDescent="0.25">
      <c r="M182" s="62">
        <f t="shared" si="3"/>
        <v>0</v>
      </c>
    </row>
    <row r="183" spans="13:13" x14ac:dyDescent="0.25">
      <c r="M183" s="62">
        <f t="shared" si="3"/>
        <v>0</v>
      </c>
    </row>
    <row r="184" spans="13:13" x14ac:dyDescent="0.25">
      <c r="M184" s="62">
        <f t="shared" si="3"/>
        <v>0</v>
      </c>
    </row>
    <row r="185" spans="13:13" x14ac:dyDescent="0.25">
      <c r="M185" s="62">
        <f t="shared" si="3"/>
        <v>0</v>
      </c>
    </row>
    <row r="186" spans="13:13" x14ac:dyDescent="0.25">
      <c r="M186" s="62">
        <f t="shared" si="3"/>
        <v>0</v>
      </c>
    </row>
    <row r="187" spans="13:13" x14ac:dyDescent="0.25">
      <c r="M187" s="62">
        <f t="shared" si="3"/>
        <v>0</v>
      </c>
    </row>
    <row r="188" spans="13:13" x14ac:dyDescent="0.25">
      <c r="M188" s="62">
        <f t="shared" si="3"/>
        <v>0</v>
      </c>
    </row>
    <row r="189" spans="13:13" x14ac:dyDescent="0.25">
      <c r="M189" s="62">
        <f t="shared" si="3"/>
        <v>0</v>
      </c>
    </row>
  </sheetData>
  <pageMargins left="0.7" right="0.7" top="0.75" bottom="0.75" header="0.3" footer="0.3"/>
  <pageSetup scale="61" fitToHeight="0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20"/>
  <sheetViews>
    <sheetView workbookViewId="0">
      <selection activeCell="N20" sqref="N20"/>
    </sheetView>
  </sheetViews>
  <sheetFormatPr defaultRowHeight="15" x14ac:dyDescent="0.25"/>
  <cols>
    <col min="1" max="1" width="9.140625" style="90"/>
    <col min="2" max="2" width="6.7109375" style="90" customWidth="1"/>
    <col min="3" max="3" width="20.140625" style="90" customWidth="1"/>
    <col min="4" max="4" width="17.85546875" style="92" customWidth="1"/>
    <col min="5" max="5" width="16.7109375" style="92" customWidth="1"/>
    <col min="6" max="6" width="19" style="93" customWidth="1"/>
    <col min="7" max="7" width="9.140625" style="97"/>
    <col min="8" max="8" width="9.140625" style="90"/>
    <col min="12" max="12" width="12.85546875" style="92" customWidth="1"/>
  </cols>
  <sheetData>
    <row r="1" spans="1:12" x14ac:dyDescent="0.25">
      <c r="A1" s="91" t="s">
        <v>0</v>
      </c>
      <c r="B1" s="91" t="s">
        <v>477</v>
      </c>
      <c r="C1" s="91" t="s">
        <v>3</v>
      </c>
      <c r="D1" s="91" t="s">
        <v>587</v>
      </c>
      <c r="E1" s="91" t="s">
        <v>588</v>
      </c>
      <c r="F1" s="91" t="s">
        <v>589</v>
      </c>
      <c r="G1" s="91" t="s">
        <v>590</v>
      </c>
      <c r="H1" s="91" t="s">
        <v>152</v>
      </c>
      <c r="L1" s="91" t="s">
        <v>591</v>
      </c>
    </row>
    <row r="2" spans="1:12" x14ac:dyDescent="0.25">
      <c r="A2" s="90" t="s">
        <v>12</v>
      </c>
      <c r="B2" s="90" t="s">
        <v>592</v>
      </c>
      <c r="C2" s="90" t="s">
        <v>593</v>
      </c>
      <c r="D2" s="92">
        <v>548629</v>
      </c>
      <c r="E2" s="92">
        <v>548629</v>
      </c>
      <c r="F2" s="93">
        <v>508446.9</v>
      </c>
      <c r="G2" s="97">
        <v>92.7</v>
      </c>
      <c r="H2" s="90" t="s">
        <v>13</v>
      </c>
      <c r="L2" s="92">
        <v>0</v>
      </c>
    </row>
    <row r="3" spans="1:12" x14ac:dyDescent="0.25">
      <c r="A3" s="90" t="s">
        <v>12</v>
      </c>
      <c r="B3" s="90" t="s">
        <v>594</v>
      </c>
      <c r="C3" s="90" t="s">
        <v>595</v>
      </c>
      <c r="D3" s="92">
        <v>2000</v>
      </c>
      <c r="E3" s="92">
        <v>2000</v>
      </c>
      <c r="F3" s="93">
        <v>1310.53</v>
      </c>
      <c r="G3" s="97">
        <v>65.5</v>
      </c>
      <c r="H3" s="90" t="s">
        <v>13</v>
      </c>
      <c r="L3" s="92">
        <v>0</v>
      </c>
    </row>
    <row r="4" spans="1:12" x14ac:dyDescent="0.25">
      <c r="A4" s="90" t="s">
        <v>12</v>
      </c>
      <c r="B4" s="90" t="s">
        <v>596</v>
      </c>
      <c r="C4" s="90" t="s">
        <v>597</v>
      </c>
      <c r="D4" s="92">
        <v>34139</v>
      </c>
      <c r="E4" s="92">
        <v>34139</v>
      </c>
      <c r="F4" s="93">
        <v>30363.83</v>
      </c>
      <c r="G4" s="97">
        <v>88.9</v>
      </c>
      <c r="H4" s="90" t="s">
        <v>13</v>
      </c>
      <c r="L4" s="92">
        <v>0</v>
      </c>
    </row>
    <row r="5" spans="1:12" x14ac:dyDescent="0.25">
      <c r="A5" s="90" t="s">
        <v>12</v>
      </c>
      <c r="B5" s="90" t="s">
        <v>598</v>
      </c>
      <c r="C5" s="90" t="s">
        <v>599</v>
      </c>
      <c r="D5" s="92">
        <v>7984</v>
      </c>
      <c r="E5" s="92">
        <v>7984</v>
      </c>
      <c r="F5" s="93">
        <v>7101.23</v>
      </c>
      <c r="G5" s="97">
        <v>88.9</v>
      </c>
      <c r="H5" s="90" t="s">
        <v>13</v>
      </c>
      <c r="L5" s="92">
        <v>0</v>
      </c>
    </row>
    <row r="6" spans="1:12" x14ac:dyDescent="0.25">
      <c r="A6" s="90" t="s">
        <v>12</v>
      </c>
      <c r="B6" s="90" t="s">
        <v>600</v>
      </c>
      <c r="C6" s="90" t="s">
        <v>601</v>
      </c>
      <c r="D6" s="92">
        <v>86443</v>
      </c>
      <c r="E6" s="92">
        <v>86443</v>
      </c>
      <c r="F6" s="93">
        <v>84072.56</v>
      </c>
      <c r="G6" s="97">
        <v>97.3</v>
      </c>
      <c r="H6" s="90" t="s">
        <v>13</v>
      </c>
      <c r="L6" s="92">
        <v>0</v>
      </c>
    </row>
    <row r="7" spans="1:12" x14ac:dyDescent="0.25">
      <c r="A7" s="90" t="s">
        <v>12</v>
      </c>
      <c r="B7" s="90" t="s">
        <v>602</v>
      </c>
      <c r="C7" s="90" t="s">
        <v>603</v>
      </c>
      <c r="D7" s="92">
        <v>5616</v>
      </c>
      <c r="E7" s="92">
        <v>5616</v>
      </c>
      <c r="F7" s="93">
        <v>5893.46</v>
      </c>
      <c r="G7" s="97">
        <v>104.9</v>
      </c>
      <c r="H7" s="90" t="s">
        <v>158</v>
      </c>
      <c r="J7" s="24" t="s">
        <v>152</v>
      </c>
      <c r="L7" s="92">
        <v>0</v>
      </c>
    </row>
    <row r="8" spans="1:12" x14ac:dyDescent="0.25">
      <c r="A8" s="90" t="s">
        <v>12</v>
      </c>
      <c r="B8" s="90" t="s">
        <v>604</v>
      </c>
      <c r="C8" s="90" t="s">
        <v>605</v>
      </c>
      <c r="D8" s="92">
        <v>2500</v>
      </c>
      <c r="E8" s="92">
        <v>2701</v>
      </c>
      <c r="F8" s="93">
        <v>2700.13</v>
      </c>
      <c r="G8" s="97">
        <v>100</v>
      </c>
      <c r="H8" s="90" t="s">
        <v>13</v>
      </c>
      <c r="L8" s="92">
        <v>201</v>
      </c>
    </row>
    <row r="9" spans="1:12" x14ac:dyDescent="0.25">
      <c r="A9" s="90" t="s">
        <v>12</v>
      </c>
      <c r="B9" s="90" t="s">
        <v>606</v>
      </c>
      <c r="C9" s="90" t="s">
        <v>607</v>
      </c>
      <c r="D9" s="92">
        <v>1500</v>
      </c>
      <c r="E9" s="92">
        <v>2977</v>
      </c>
      <c r="F9" s="93">
        <v>2597.66</v>
      </c>
      <c r="G9" s="97">
        <v>87.3</v>
      </c>
      <c r="H9" s="90" t="s">
        <v>13</v>
      </c>
      <c r="L9" s="92">
        <v>1477</v>
      </c>
    </row>
    <row r="10" spans="1:12" x14ac:dyDescent="0.25">
      <c r="A10" s="90" t="s">
        <v>12</v>
      </c>
      <c r="B10" s="90" t="s">
        <v>608</v>
      </c>
      <c r="C10" s="90" t="s">
        <v>609</v>
      </c>
      <c r="D10" s="92">
        <v>250</v>
      </c>
      <c r="E10" s="92">
        <v>250</v>
      </c>
      <c r="F10" s="93">
        <v>134.38999999999999</v>
      </c>
      <c r="G10" s="97">
        <v>53.8</v>
      </c>
      <c r="H10" s="90" t="s">
        <v>13</v>
      </c>
      <c r="L10" s="92">
        <v>0</v>
      </c>
    </row>
    <row r="11" spans="1:12" x14ac:dyDescent="0.25">
      <c r="A11" s="90" t="s">
        <v>12</v>
      </c>
      <c r="B11" s="90" t="s">
        <v>610</v>
      </c>
      <c r="C11" s="90" t="s">
        <v>611</v>
      </c>
      <c r="D11" s="92">
        <v>900</v>
      </c>
      <c r="E11" s="92">
        <v>900</v>
      </c>
      <c r="F11" s="93">
        <v>695.64</v>
      </c>
      <c r="G11" s="97">
        <v>77.3</v>
      </c>
      <c r="H11" s="90" t="s">
        <v>13</v>
      </c>
      <c r="L11" s="92">
        <v>0</v>
      </c>
    </row>
    <row r="12" spans="1:12" x14ac:dyDescent="0.25">
      <c r="A12" s="90" t="s">
        <v>12</v>
      </c>
      <c r="B12" s="90" t="s">
        <v>612</v>
      </c>
      <c r="C12" s="90" t="s">
        <v>613</v>
      </c>
      <c r="D12" s="92">
        <v>80000</v>
      </c>
      <c r="E12" s="92">
        <v>79719</v>
      </c>
      <c r="F12" s="93">
        <v>55320.65</v>
      </c>
      <c r="G12" s="97">
        <v>69.400000000000006</v>
      </c>
      <c r="H12" s="90" t="s">
        <v>13</v>
      </c>
      <c r="L12" s="92">
        <v>-281</v>
      </c>
    </row>
    <row r="13" spans="1:12" x14ac:dyDescent="0.25">
      <c r="A13" s="90" t="s">
        <v>12</v>
      </c>
      <c r="B13" s="90" t="s">
        <v>614</v>
      </c>
      <c r="C13" s="90" t="s">
        <v>615</v>
      </c>
      <c r="D13" s="92">
        <v>0</v>
      </c>
      <c r="E13" s="92">
        <v>100000</v>
      </c>
      <c r="F13" s="93">
        <v>-827.2</v>
      </c>
      <c r="G13" s="97">
        <v>-0.8</v>
      </c>
      <c r="H13" s="90" t="s">
        <v>13</v>
      </c>
      <c r="L13" s="92">
        <v>100000</v>
      </c>
    </row>
    <row r="14" spans="1:12" x14ac:dyDescent="0.25">
      <c r="A14" s="90" t="s">
        <v>12</v>
      </c>
      <c r="B14" s="90" t="s">
        <v>616</v>
      </c>
      <c r="C14" s="90" t="s">
        <v>617</v>
      </c>
      <c r="D14" s="92">
        <v>50000</v>
      </c>
      <c r="E14" s="92">
        <v>50000</v>
      </c>
      <c r="F14" s="93">
        <v>47754.67</v>
      </c>
      <c r="G14" s="97">
        <v>95.5</v>
      </c>
      <c r="H14" s="90" t="s">
        <v>13</v>
      </c>
      <c r="L14" s="92">
        <v>0</v>
      </c>
    </row>
    <row r="15" spans="1:12" x14ac:dyDescent="0.25">
      <c r="A15" s="90" t="s">
        <v>12</v>
      </c>
      <c r="B15" s="90" t="s">
        <v>618</v>
      </c>
      <c r="C15" s="90" t="s">
        <v>619</v>
      </c>
      <c r="D15" s="92">
        <v>12500</v>
      </c>
      <c r="E15" s="92">
        <v>27500</v>
      </c>
      <c r="F15" s="93">
        <v>20337.77</v>
      </c>
      <c r="G15" s="97">
        <v>74</v>
      </c>
      <c r="H15" s="90" t="s">
        <v>13</v>
      </c>
      <c r="L15" s="92">
        <v>15000</v>
      </c>
    </row>
    <row r="16" spans="1:12" x14ac:dyDescent="0.25">
      <c r="A16" s="90" t="s">
        <v>12</v>
      </c>
      <c r="B16" s="90" t="s">
        <v>620</v>
      </c>
      <c r="C16" s="90" t="s">
        <v>621</v>
      </c>
      <c r="D16" s="92">
        <v>12500</v>
      </c>
      <c r="E16" s="92">
        <v>12580</v>
      </c>
      <c r="F16" s="93">
        <v>12579.34</v>
      </c>
      <c r="G16" s="97">
        <v>100</v>
      </c>
      <c r="H16" s="90" t="s">
        <v>13</v>
      </c>
      <c r="L16" s="92">
        <v>80</v>
      </c>
    </row>
    <row r="17" spans="1:12" x14ac:dyDescent="0.25">
      <c r="A17" s="90" t="s">
        <v>12</v>
      </c>
      <c r="B17" s="90" t="s">
        <v>622</v>
      </c>
      <c r="C17" s="90" t="s">
        <v>623</v>
      </c>
      <c r="D17" s="92">
        <v>8000</v>
      </c>
      <c r="E17" s="92">
        <v>10000</v>
      </c>
      <c r="F17" s="93">
        <v>9305.93</v>
      </c>
      <c r="G17" s="97">
        <v>93.1</v>
      </c>
      <c r="H17" s="90" t="s">
        <v>13</v>
      </c>
      <c r="L17" s="92">
        <v>2000</v>
      </c>
    </row>
    <row r="18" spans="1:12" x14ac:dyDescent="0.25">
      <c r="A18" s="90" t="s">
        <v>12</v>
      </c>
      <c r="B18" s="90" t="s">
        <v>624</v>
      </c>
      <c r="C18" s="90" t="s">
        <v>625</v>
      </c>
      <c r="D18" s="92">
        <v>1000</v>
      </c>
      <c r="E18" s="92">
        <v>1000</v>
      </c>
      <c r="F18" s="93">
        <v>0</v>
      </c>
      <c r="G18" s="97">
        <v>0</v>
      </c>
      <c r="H18" s="90" t="s">
        <v>13</v>
      </c>
      <c r="L18" s="92">
        <v>0</v>
      </c>
    </row>
    <row r="19" spans="1:12" x14ac:dyDescent="0.25">
      <c r="A19" s="90" t="s">
        <v>12</v>
      </c>
      <c r="B19" s="90" t="s">
        <v>626</v>
      </c>
      <c r="C19" s="90" t="s">
        <v>627</v>
      </c>
      <c r="D19" s="92">
        <v>0</v>
      </c>
      <c r="E19" s="92">
        <v>6948759</v>
      </c>
      <c r="F19" s="93">
        <v>6948759</v>
      </c>
      <c r="G19" s="97">
        <v>100</v>
      </c>
      <c r="H19" s="90" t="s">
        <v>13</v>
      </c>
      <c r="L19" s="92">
        <v>6948759</v>
      </c>
    </row>
    <row r="20" spans="1:12" x14ac:dyDescent="0.25">
      <c r="A20" s="90" t="s">
        <v>12</v>
      </c>
      <c r="B20" s="90" t="s">
        <v>628</v>
      </c>
      <c r="C20" s="90" t="s">
        <v>629</v>
      </c>
      <c r="D20" s="92">
        <v>287050</v>
      </c>
      <c r="E20" s="92">
        <v>455413</v>
      </c>
      <c r="F20" s="93">
        <v>170924.76</v>
      </c>
      <c r="G20" s="97">
        <v>37.5</v>
      </c>
      <c r="H20" s="90" t="s">
        <v>13</v>
      </c>
      <c r="L20" s="92">
        <v>168363</v>
      </c>
    </row>
    <row r="21" spans="1:12" x14ac:dyDescent="0.25">
      <c r="C21" s="91" t="s">
        <v>630</v>
      </c>
      <c r="D21" s="98">
        <f>SUM(D2:D20)</f>
        <v>1141011</v>
      </c>
      <c r="E21" s="98">
        <f t="shared" ref="E21:F21" si="0">SUM(E2:E20)</f>
        <v>8376610</v>
      </c>
      <c r="F21" s="98">
        <f t="shared" si="0"/>
        <v>7907471.25</v>
      </c>
      <c r="L21" s="98">
        <f>SUM(L2:L20)</f>
        <v>7235599</v>
      </c>
    </row>
    <row r="22" spans="1:12" x14ac:dyDescent="0.25">
      <c r="A22" s="90" t="s">
        <v>15</v>
      </c>
      <c r="B22" s="90" t="s">
        <v>592</v>
      </c>
      <c r="C22" s="90" t="s">
        <v>593</v>
      </c>
      <c r="D22" s="92">
        <v>982429</v>
      </c>
      <c r="E22" s="92">
        <v>979429</v>
      </c>
      <c r="F22" s="93">
        <v>896134.59</v>
      </c>
      <c r="G22" s="97">
        <v>91.5</v>
      </c>
      <c r="H22" s="90" t="s">
        <v>13</v>
      </c>
      <c r="L22" s="92">
        <v>-3000</v>
      </c>
    </row>
    <row r="23" spans="1:12" x14ac:dyDescent="0.25">
      <c r="A23" s="90" t="s">
        <v>15</v>
      </c>
      <c r="B23" s="90" t="s">
        <v>594</v>
      </c>
      <c r="C23" s="90" t="s">
        <v>595</v>
      </c>
      <c r="D23" s="92">
        <v>2000</v>
      </c>
      <c r="E23" s="92">
        <v>5000</v>
      </c>
      <c r="F23" s="93">
        <v>4016.49</v>
      </c>
      <c r="G23" s="97">
        <v>80.3</v>
      </c>
      <c r="H23" s="90" t="s">
        <v>13</v>
      </c>
      <c r="L23" s="92">
        <v>3000</v>
      </c>
    </row>
    <row r="24" spans="1:12" x14ac:dyDescent="0.25">
      <c r="A24" s="90" t="s">
        <v>15</v>
      </c>
      <c r="B24" s="90" t="s">
        <v>596</v>
      </c>
      <c r="C24" s="90" t="s">
        <v>597</v>
      </c>
      <c r="D24" s="92">
        <v>61035</v>
      </c>
      <c r="E24" s="92">
        <v>61035</v>
      </c>
      <c r="F24" s="93">
        <v>54571.03</v>
      </c>
      <c r="G24" s="97">
        <v>89.4</v>
      </c>
      <c r="H24" s="90" t="s">
        <v>13</v>
      </c>
      <c r="L24" s="92">
        <v>0</v>
      </c>
    </row>
    <row r="25" spans="1:12" x14ac:dyDescent="0.25">
      <c r="A25" s="90" t="s">
        <v>15</v>
      </c>
      <c r="B25" s="90" t="s">
        <v>598</v>
      </c>
      <c r="C25" s="90" t="s">
        <v>599</v>
      </c>
      <c r="D25" s="92">
        <v>14274</v>
      </c>
      <c r="E25" s="92">
        <v>14274</v>
      </c>
      <c r="F25" s="93">
        <v>12762.58</v>
      </c>
      <c r="G25" s="97">
        <v>89.4</v>
      </c>
      <c r="H25" s="90" t="s">
        <v>13</v>
      </c>
      <c r="L25" s="92">
        <v>0</v>
      </c>
    </row>
    <row r="26" spans="1:12" x14ac:dyDescent="0.25">
      <c r="A26" s="90" t="s">
        <v>15</v>
      </c>
      <c r="B26" s="90" t="s">
        <v>600</v>
      </c>
      <c r="C26" s="90" t="s">
        <v>601</v>
      </c>
      <c r="D26" s="92">
        <v>163022</v>
      </c>
      <c r="E26" s="92">
        <v>163022</v>
      </c>
      <c r="F26" s="93">
        <v>155187.03</v>
      </c>
      <c r="G26" s="97">
        <v>95.2</v>
      </c>
      <c r="H26" s="90" t="s">
        <v>13</v>
      </c>
      <c r="L26" s="92">
        <v>0</v>
      </c>
    </row>
    <row r="27" spans="1:12" x14ac:dyDescent="0.25">
      <c r="A27" s="90" t="s">
        <v>15</v>
      </c>
      <c r="B27" s="90" t="s">
        <v>604</v>
      </c>
      <c r="C27" s="90" t="s">
        <v>605</v>
      </c>
      <c r="D27" s="92">
        <v>1000</v>
      </c>
      <c r="E27" s="92">
        <v>1000</v>
      </c>
      <c r="F27" s="93">
        <v>0</v>
      </c>
      <c r="G27" s="97">
        <v>0</v>
      </c>
      <c r="H27" s="90" t="s">
        <v>13</v>
      </c>
      <c r="L27" s="92">
        <v>0</v>
      </c>
    </row>
    <row r="28" spans="1:12" x14ac:dyDescent="0.25">
      <c r="A28" s="90" t="s">
        <v>15</v>
      </c>
      <c r="B28" s="90" t="s">
        <v>606</v>
      </c>
      <c r="C28" s="90" t="s">
        <v>607</v>
      </c>
      <c r="D28" s="92">
        <v>19000</v>
      </c>
      <c r="E28" s="92">
        <v>11072</v>
      </c>
      <c r="F28" s="93">
        <v>8568.7999999999993</v>
      </c>
      <c r="G28" s="97">
        <v>77.400000000000006</v>
      </c>
      <c r="H28" s="90" t="s">
        <v>13</v>
      </c>
      <c r="L28" s="92">
        <v>-7928</v>
      </c>
    </row>
    <row r="29" spans="1:12" x14ac:dyDescent="0.25">
      <c r="A29" s="90" t="s">
        <v>15</v>
      </c>
      <c r="B29" s="90" t="s">
        <v>608</v>
      </c>
      <c r="C29" s="90" t="s">
        <v>609</v>
      </c>
      <c r="D29" s="92">
        <v>32640</v>
      </c>
      <c r="E29" s="92">
        <v>38703</v>
      </c>
      <c r="F29" s="93">
        <v>38702.980000000003</v>
      </c>
      <c r="G29" s="97">
        <v>100</v>
      </c>
      <c r="H29" s="90" t="s">
        <v>13</v>
      </c>
      <c r="L29" s="92">
        <v>6063</v>
      </c>
    </row>
    <row r="30" spans="1:12" x14ac:dyDescent="0.25">
      <c r="A30" s="90" t="s">
        <v>15</v>
      </c>
      <c r="B30" s="90" t="s">
        <v>610</v>
      </c>
      <c r="C30" s="90" t="s">
        <v>611</v>
      </c>
      <c r="D30" s="92">
        <v>2500</v>
      </c>
      <c r="E30" s="92">
        <v>2500</v>
      </c>
      <c r="F30" s="93">
        <v>1100.1600000000001</v>
      </c>
      <c r="G30" s="97">
        <v>44</v>
      </c>
      <c r="H30" s="90" t="s">
        <v>13</v>
      </c>
      <c r="L30" s="92">
        <v>0</v>
      </c>
    </row>
    <row r="31" spans="1:12" x14ac:dyDescent="0.25">
      <c r="A31" s="90" t="s">
        <v>15</v>
      </c>
      <c r="B31" s="90" t="s">
        <v>612</v>
      </c>
      <c r="C31" s="90" t="s">
        <v>613</v>
      </c>
      <c r="D31" s="92">
        <v>1000</v>
      </c>
      <c r="E31" s="92">
        <v>1000</v>
      </c>
      <c r="F31" s="93">
        <v>74702.679999999993</v>
      </c>
      <c r="G31" s="97">
        <v>7470.3</v>
      </c>
      <c r="H31" s="90" t="s">
        <v>158</v>
      </c>
      <c r="L31" s="92">
        <v>0</v>
      </c>
    </row>
    <row r="32" spans="1:12" x14ac:dyDescent="0.25">
      <c r="A32" s="90" t="s">
        <v>15</v>
      </c>
      <c r="B32" s="90" t="s">
        <v>631</v>
      </c>
      <c r="C32" s="90" t="s">
        <v>632</v>
      </c>
      <c r="D32" s="92">
        <v>1000</v>
      </c>
      <c r="E32" s="92">
        <v>1000</v>
      </c>
      <c r="F32" s="93">
        <v>0</v>
      </c>
      <c r="G32" s="97">
        <v>0</v>
      </c>
      <c r="H32" s="90" t="s">
        <v>13</v>
      </c>
      <c r="L32" s="92">
        <v>0</v>
      </c>
    </row>
    <row r="33" spans="1:12" x14ac:dyDescent="0.25">
      <c r="A33" s="90" t="s">
        <v>15</v>
      </c>
      <c r="B33" s="90" t="s">
        <v>616</v>
      </c>
      <c r="C33" s="90" t="s">
        <v>617</v>
      </c>
      <c r="D33" s="92">
        <v>6500</v>
      </c>
      <c r="E33" s="92">
        <v>8058</v>
      </c>
      <c r="F33" s="93">
        <v>8057.58</v>
      </c>
      <c r="G33" s="97">
        <v>100</v>
      </c>
      <c r="H33" s="90" t="s">
        <v>13</v>
      </c>
      <c r="L33" s="92">
        <v>1558</v>
      </c>
    </row>
    <row r="34" spans="1:12" x14ac:dyDescent="0.25">
      <c r="A34" s="90" t="s">
        <v>15</v>
      </c>
      <c r="B34" s="90" t="s">
        <v>618</v>
      </c>
      <c r="C34" s="90" t="s">
        <v>619</v>
      </c>
      <c r="D34" s="92">
        <v>6000</v>
      </c>
      <c r="E34" s="92">
        <v>5500</v>
      </c>
      <c r="F34" s="93">
        <v>2218.02</v>
      </c>
      <c r="G34" s="97">
        <v>40.299999999999997</v>
      </c>
      <c r="H34" s="90" t="s">
        <v>13</v>
      </c>
      <c r="L34" s="92">
        <v>-500</v>
      </c>
    </row>
    <row r="35" spans="1:12" x14ac:dyDescent="0.25">
      <c r="A35" s="90" t="s">
        <v>15</v>
      </c>
      <c r="B35" s="90" t="s">
        <v>622</v>
      </c>
      <c r="C35" s="90" t="s">
        <v>623</v>
      </c>
      <c r="D35" s="92">
        <v>17500</v>
      </c>
      <c r="E35" s="92">
        <v>18307</v>
      </c>
      <c r="F35" s="93">
        <v>18306.169999999998</v>
      </c>
      <c r="G35" s="97">
        <v>100</v>
      </c>
      <c r="H35" s="90" t="s">
        <v>13</v>
      </c>
      <c r="L35" s="92">
        <v>807</v>
      </c>
    </row>
    <row r="36" spans="1:12" x14ac:dyDescent="0.25">
      <c r="A36" s="90" t="s">
        <v>15</v>
      </c>
      <c r="B36" s="90" t="s">
        <v>624</v>
      </c>
      <c r="C36" s="90" t="s">
        <v>625</v>
      </c>
      <c r="D36" s="92">
        <v>5000</v>
      </c>
      <c r="E36" s="92">
        <v>5000</v>
      </c>
      <c r="F36" s="93">
        <v>0</v>
      </c>
      <c r="G36" s="97">
        <v>0</v>
      </c>
      <c r="H36" s="90" t="s">
        <v>13</v>
      </c>
      <c r="L36" s="92">
        <v>0</v>
      </c>
    </row>
    <row r="37" spans="1:12" x14ac:dyDescent="0.25">
      <c r="C37" s="91" t="s">
        <v>633</v>
      </c>
      <c r="D37" s="98">
        <f>SUM(D22:D36)</f>
        <v>1314900</v>
      </c>
      <c r="E37" s="98">
        <f t="shared" ref="E37:F37" si="1">SUM(E22:E36)</f>
        <v>1314900</v>
      </c>
      <c r="F37" s="98">
        <f t="shared" si="1"/>
        <v>1274328.1099999999</v>
      </c>
      <c r="L37" s="98">
        <f>SUM(L22:L36)</f>
        <v>0</v>
      </c>
    </row>
    <row r="38" spans="1:12" x14ac:dyDescent="0.25">
      <c r="A38" s="90" t="s">
        <v>17</v>
      </c>
      <c r="B38" s="90" t="s">
        <v>592</v>
      </c>
      <c r="C38" s="90" t="s">
        <v>593</v>
      </c>
      <c r="D38" s="92">
        <v>967043</v>
      </c>
      <c r="E38" s="92">
        <v>967043</v>
      </c>
      <c r="F38" s="93">
        <v>914196.16</v>
      </c>
      <c r="G38" s="97">
        <v>94.5</v>
      </c>
      <c r="H38" s="90" t="s">
        <v>13</v>
      </c>
      <c r="L38" s="92">
        <v>0</v>
      </c>
    </row>
    <row r="39" spans="1:12" x14ac:dyDescent="0.25">
      <c r="A39" s="90" t="s">
        <v>17</v>
      </c>
      <c r="B39" s="90" t="s">
        <v>594</v>
      </c>
      <c r="C39" s="90" t="s">
        <v>595</v>
      </c>
      <c r="D39" s="92">
        <v>5000</v>
      </c>
      <c r="E39" s="92">
        <v>5000</v>
      </c>
      <c r="F39" s="93">
        <v>16751.93</v>
      </c>
      <c r="G39" s="97">
        <v>335</v>
      </c>
      <c r="H39" s="90" t="s">
        <v>158</v>
      </c>
      <c r="L39" s="92">
        <v>0</v>
      </c>
    </row>
    <row r="40" spans="1:12" x14ac:dyDescent="0.25">
      <c r="A40" s="90" t="s">
        <v>17</v>
      </c>
      <c r="B40" s="90" t="s">
        <v>596</v>
      </c>
      <c r="C40" s="90" t="s">
        <v>597</v>
      </c>
      <c r="D40" s="92">
        <v>60267</v>
      </c>
      <c r="E40" s="92">
        <v>60267</v>
      </c>
      <c r="F40" s="93">
        <v>55890.49</v>
      </c>
      <c r="G40" s="97">
        <v>92.7</v>
      </c>
      <c r="H40" s="90" t="s">
        <v>13</v>
      </c>
      <c r="L40" s="92">
        <v>0</v>
      </c>
    </row>
    <row r="41" spans="1:12" x14ac:dyDescent="0.25">
      <c r="A41" s="90" t="s">
        <v>17</v>
      </c>
      <c r="B41" s="90" t="s">
        <v>598</v>
      </c>
      <c r="C41" s="90" t="s">
        <v>599</v>
      </c>
      <c r="D41" s="92">
        <v>14095</v>
      </c>
      <c r="E41" s="92">
        <v>14095</v>
      </c>
      <c r="F41" s="93">
        <v>13070.92</v>
      </c>
      <c r="G41" s="97">
        <v>92.7</v>
      </c>
      <c r="H41" s="90" t="s">
        <v>13</v>
      </c>
      <c r="L41" s="92">
        <v>0</v>
      </c>
    </row>
    <row r="42" spans="1:12" x14ac:dyDescent="0.25">
      <c r="A42" s="90" t="s">
        <v>17</v>
      </c>
      <c r="B42" s="90" t="s">
        <v>600</v>
      </c>
      <c r="C42" s="90" t="s">
        <v>601</v>
      </c>
      <c r="D42" s="92">
        <v>160143</v>
      </c>
      <c r="E42" s="92">
        <v>160143</v>
      </c>
      <c r="F42" s="93">
        <v>162057.93</v>
      </c>
      <c r="G42" s="97">
        <v>101.2</v>
      </c>
      <c r="H42" s="90" t="s">
        <v>158</v>
      </c>
      <c r="L42" s="92">
        <v>0</v>
      </c>
    </row>
    <row r="43" spans="1:12" x14ac:dyDescent="0.25">
      <c r="A43" s="90" t="s">
        <v>17</v>
      </c>
      <c r="B43" s="90" t="s">
        <v>604</v>
      </c>
      <c r="C43" s="90" t="s">
        <v>605</v>
      </c>
      <c r="D43" s="92">
        <v>8000</v>
      </c>
      <c r="E43" s="92">
        <v>8000</v>
      </c>
      <c r="F43" s="93">
        <v>17347.21</v>
      </c>
      <c r="G43" s="97">
        <v>216.8</v>
      </c>
      <c r="H43" s="90" t="s">
        <v>158</v>
      </c>
      <c r="L43" s="92">
        <v>0</v>
      </c>
    </row>
    <row r="44" spans="1:12" x14ac:dyDescent="0.25">
      <c r="A44" s="90" t="s">
        <v>17</v>
      </c>
      <c r="B44" s="90" t="s">
        <v>606</v>
      </c>
      <c r="C44" s="90" t="s">
        <v>607</v>
      </c>
      <c r="D44" s="92">
        <v>76000</v>
      </c>
      <c r="E44" s="92">
        <v>76000</v>
      </c>
      <c r="F44" s="93">
        <v>83801.45</v>
      </c>
      <c r="G44" s="97">
        <v>110.3</v>
      </c>
      <c r="H44" s="90" t="s">
        <v>158</v>
      </c>
      <c r="L44" s="92">
        <v>0</v>
      </c>
    </row>
    <row r="45" spans="1:12" x14ac:dyDescent="0.25">
      <c r="A45" s="90" t="s">
        <v>17</v>
      </c>
      <c r="B45" s="90" t="s">
        <v>608</v>
      </c>
      <c r="C45" s="90" t="s">
        <v>609</v>
      </c>
      <c r="D45" s="92">
        <v>182000</v>
      </c>
      <c r="E45" s="92">
        <v>182000</v>
      </c>
      <c r="F45" s="93">
        <v>158744.51</v>
      </c>
      <c r="G45" s="97">
        <v>87.2</v>
      </c>
      <c r="H45" s="90" t="s">
        <v>13</v>
      </c>
      <c r="L45" s="92">
        <v>0</v>
      </c>
    </row>
    <row r="46" spans="1:12" x14ac:dyDescent="0.25">
      <c r="A46" s="90" t="s">
        <v>17</v>
      </c>
      <c r="B46" s="90" t="s">
        <v>634</v>
      </c>
      <c r="C46" s="90" t="s">
        <v>635</v>
      </c>
      <c r="D46" s="92">
        <v>9000</v>
      </c>
      <c r="E46" s="92">
        <v>9000</v>
      </c>
      <c r="F46" s="93">
        <v>0</v>
      </c>
      <c r="G46" s="97">
        <v>0</v>
      </c>
      <c r="H46" s="90" t="s">
        <v>13</v>
      </c>
      <c r="L46" s="92">
        <v>0</v>
      </c>
    </row>
    <row r="47" spans="1:12" x14ac:dyDescent="0.25">
      <c r="A47" s="90" t="s">
        <v>17</v>
      </c>
      <c r="B47" s="90" t="s">
        <v>636</v>
      </c>
      <c r="C47" s="90" t="s">
        <v>637</v>
      </c>
      <c r="D47" s="92">
        <v>1000</v>
      </c>
      <c r="E47" s="92">
        <v>1000</v>
      </c>
      <c r="F47" s="93">
        <v>0</v>
      </c>
      <c r="G47" s="97">
        <v>0</v>
      </c>
      <c r="H47" s="90" t="s">
        <v>13</v>
      </c>
      <c r="L47" s="92">
        <v>0</v>
      </c>
    </row>
    <row r="48" spans="1:12" x14ac:dyDescent="0.25">
      <c r="A48" s="90" t="s">
        <v>17</v>
      </c>
      <c r="B48" s="90" t="s">
        <v>610</v>
      </c>
      <c r="C48" s="90" t="s">
        <v>611</v>
      </c>
      <c r="D48" s="92">
        <v>3000</v>
      </c>
      <c r="E48" s="92">
        <v>3000</v>
      </c>
      <c r="F48" s="93">
        <v>2790.24</v>
      </c>
      <c r="G48" s="97">
        <v>93</v>
      </c>
      <c r="H48" s="90" t="s">
        <v>13</v>
      </c>
      <c r="L48" s="92">
        <v>0</v>
      </c>
    </row>
    <row r="49" spans="1:12" x14ac:dyDescent="0.25">
      <c r="A49" s="90" t="s">
        <v>17</v>
      </c>
      <c r="B49" s="90" t="s">
        <v>612</v>
      </c>
      <c r="C49" s="90" t="s">
        <v>613</v>
      </c>
      <c r="D49" s="92">
        <v>50000</v>
      </c>
      <c r="E49" s="92">
        <v>50000</v>
      </c>
      <c r="F49" s="93">
        <v>45105.83</v>
      </c>
      <c r="G49" s="97">
        <v>90.2</v>
      </c>
      <c r="H49" s="90" t="s">
        <v>13</v>
      </c>
      <c r="L49" s="92">
        <v>0</v>
      </c>
    </row>
    <row r="50" spans="1:12" x14ac:dyDescent="0.25">
      <c r="A50" s="90" t="s">
        <v>17</v>
      </c>
      <c r="B50" s="90" t="s">
        <v>616</v>
      </c>
      <c r="C50" s="90" t="s">
        <v>617</v>
      </c>
      <c r="D50" s="92">
        <v>12000</v>
      </c>
      <c r="E50" s="92">
        <v>12000</v>
      </c>
      <c r="F50" s="93">
        <v>9808.27</v>
      </c>
      <c r="G50" s="97">
        <v>81.7</v>
      </c>
      <c r="H50" s="90" t="s">
        <v>13</v>
      </c>
      <c r="L50" s="92">
        <v>0</v>
      </c>
    </row>
    <row r="51" spans="1:12" x14ac:dyDescent="0.25">
      <c r="A51" s="90" t="s">
        <v>17</v>
      </c>
      <c r="B51" s="90" t="s">
        <v>618</v>
      </c>
      <c r="C51" s="90" t="s">
        <v>619</v>
      </c>
      <c r="D51" s="92">
        <v>15000</v>
      </c>
      <c r="E51" s="92">
        <v>15000</v>
      </c>
      <c r="F51" s="93">
        <v>38193.279999999999</v>
      </c>
      <c r="G51" s="97">
        <v>254.6</v>
      </c>
      <c r="H51" s="90" t="s">
        <v>158</v>
      </c>
      <c r="L51" s="92">
        <v>0</v>
      </c>
    </row>
    <row r="52" spans="1:12" x14ac:dyDescent="0.25">
      <c r="A52" s="90" t="s">
        <v>17</v>
      </c>
      <c r="B52" s="90" t="s">
        <v>638</v>
      </c>
      <c r="C52" s="90" t="s">
        <v>639</v>
      </c>
      <c r="D52" s="92">
        <v>2000</v>
      </c>
      <c r="E52" s="92">
        <v>2000</v>
      </c>
      <c r="F52" s="93">
        <v>0</v>
      </c>
      <c r="G52" s="97">
        <v>0</v>
      </c>
      <c r="H52" s="90" t="s">
        <v>13</v>
      </c>
      <c r="L52" s="92">
        <v>0</v>
      </c>
    </row>
    <row r="53" spans="1:12" x14ac:dyDescent="0.25">
      <c r="A53" s="90" t="s">
        <v>17</v>
      </c>
      <c r="B53" s="90" t="s">
        <v>640</v>
      </c>
      <c r="C53" s="90" t="s">
        <v>641</v>
      </c>
      <c r="D53" s="92">
        <v>300000</v>
      </c>
      <c r="E53" s="92">
        <v>300000</v>
      </c>
      <c r="F53" s="93">
        <v>78776.759999999995</v>
      </c>
      <c r="G53" s="97">
        <v>26.3</v>
      </c>
      <c r="H53" s="90" t="s">
        <v>13</v>
      </c>
      <c r="L53" s="92">
        <v>0</v>
      </c>
    </row>
    <row r="54" spans="1:12" x14ac:dyDescent="0.25">
      <c r="A54" s="90" t="s">
        <v>17</v>
      </c>
      <c r="B54" s="90" t="s">
        <v>642</v>
      </c>
      <c r="C54" s="90" t="s">
        <v>643</v>
      </c>
      <c r="D54" s="92">
        <v>0</v>
      </c>
      <c r="E54" s="92">
        <v>0</v>
      </c>
      <c r="F54" s="93">
        <v>261.02</v>
      </c>
      <c r="G54" s="97">
        <v>100</v>
      </c>
      <c r="H54" s="90" t="s">
        <v>158</v>
      </c>
      <c r="L54" s="92">
        <v>0</v>
      </c>
    </row>
    <row r="55" spans="1:12" x14ac:dyDescent="0.25">
      <c r="A55" s="90" t="s">
        <v>17</v>
      </c>
      <c r="B55" s="90" t="s">
        <v>622</v>
      </c>
      <c r="C55" s="90" t="s">
        <v>623</v>
      </c>
      <c r="D55" s="92">
        <v>29000</v>
      </c>
      <c r="E55" s="92">
        <v>29000</v>
      </c>
      <c r="F55" s="93">
        <v>14314.09</v>
      </c>
      <c r="G55" s="97">
        <v>49.4</v>
      </c>
      <c r="H55" s="90" t="s">
        <v>13</v>
      </c>
      <c r="L55" s="92">
        <v>0</v>
      </c>
    </row>
    <row r="56" spans="1:12" x14ac:dyDescent="0.25">
      <c r="A56" s="90" t="s">
        <v>17</v>
      </c>
      <c r="B56" s="90" t="s">
        <v>644</v>
      </c>
      <c r="C56" s="90" t="s">
        <v>645</v>
      </c>
      <c r="D56" s="92">
        <v>0</v>
      </c>
      <c r="E56" s="92">
        <v>0</v>
      </c>
      <c r="F56" s="93">
        <v>265.48</v>
      </c>
      <c r="G56" s="97">
        <v>100</v>
      </c>
      <c r="H56" s="90" t="s">
        <v>158</v>
      </c>
      <c r="I56" s="24" t="s">
        <v>152</v>
      </c>
      <c r="L56" s="92">
        <v>0</v>
      </c>
    </row>
    <row r="57" spans="1:12" x14ac:dyDescent="0.25">
      <c r="A57" s="90" t="s">
        <v>17</v>
      </c>
      <c r="B57" s="90" t="s">
        <v>624</v>
      </c>
      <c r="C57" s="90" t="s">
        <v>625</v>
      </c>
      <c r="D57" s="92">
        <v>17610</v>
      </c>
      <c r="E57" s="92">
        <v>17610</v>
      </c>
      <c r="F57" s="93">
        <v>0</v>
      </c>
      <c r="G57" s="97">
        <v>0</v>
      </c>
      <c r="H57" s="90" t="s">
        <v>13</v>
      </c>
      <c r="L57" s="92">
        <v>0</v>
      </c>
    </row>
    <row r="58" spans="1:12" x14ac:dyDescent="0.25">
      <c r="A58" s="90" t="s">
        <v>17</v>
      </c>
      <c r="B58" s="90" t="s">
        <v>646</v>
      </c>
      <c r="C58" s="90" t="s">
        <v>647</v>
      </c>
      <c r="D58" s="92">
        <v>7254</v>
      </c>
      <c r="E58" s="92">
        <v>7254</v>
      </c>
      <c r="F58" s="93">
        <v>0</v>
      </c>
      <c r="G58" s="97">
        <v>0</v>
      </c>
      <c r="H58" s="90" t="s">
        <v>13</v>
      </c>
      <c r="L58" s="92">
        <v>0</v>
      </c>
    </row>
    <row r="59" spans="1:12" x14ac:dyDescent="0.25">
      <c r="A59" s="90" t="s">
        <v>17</v>
      </c>
      <c r="B59" s="90" t="s">
        <v>648</v>
      </c>
      <c r="C59" s="90" t="s">
        <v>649</v>
      </c>
      <c r="D59" s="92">
        <v>375000</v>
      </c>
      <c r="E59" s="92">
        <v>375000</v>
      </c>
      <c r="F59" s="93">
        <v>252534.58</v>
      </c>
      <c r="G59" s="97">
        <v>67.3</v>
      </c>
      <c r="H59" s="90" t="s">
        <v>13</v>
      </c>
      <c r="L59" s="92">
        <v>0</v>
      </c>
    </row>
    <row r="60" spans="1:12" x14ac:dyDescent="0.25">
      <c r="C60" s="91" t="s">
        <v>650</v>
      </c>
      <c r="D60" s="98">
        <f>SUM(D38:D59)</f>
        <v>2293412</v>
      </c>
      <c r="E60" s="98">
        <f t="shared" ref="E60:F60" si="2">SUM(E38:E59)</f>
        <v>2293412</v>
      </c>
      <c r="F60" s="98">
        <f t="shared" si="2"/>
        <v>1863910.1500000004</v>
      </c>
      <c r="L60" s="98">
        <f>SUM(L38:L59)</f>
        <v>0</v>
      </c>
    </row>
    <row r="61" spans="1:12" x14ac:dyDescent="0.25">
      <c r="A61" s="90" t="s">
        <v>19</v>
      </c>
      <c r="B61" s="90" t="s">
        <v>592</v>
      </c>
      <c r="C61" s="90" t="s">
        <v>593</v>
      </c>
      <c r="D61" s="92">
        <v>652140</v>
      </c>
      <c r="E61" s="92">
        <v>652140</v>
      </c>
      <c r="F61" s="93">
        <v>605975.31999999995</v>
      </c>
      <c r="G61" s="97">
        <v>92.9</v>
      </c>
      <c r="H61" s="90" t="s">
        <v>13</v>
      </c>
      <c r="L61" s="92">
        <v>0</v>
      </c>
    </row>
    <row r="62" spans="1:12" x14ac:dyDescent="0.25">
      <c r="A62" s="90" t="s">
        <v>19</v>
      </c>
      <c r="B62" s="90" t="s">
        <v>596</v>
      </c>
      <c r="C62" s="90" t="s">
        <v>597</v>
      </c>
      <c r="D62" s="92">
        <v>40433</v>
      </c>
      <c r="E62" s="92">
        <v>40433</v>
      </c>
      <c r="F62" s="93">
        <v>35950.19</v>
      </c>
      <c r="G62" s="97">
        <v>88.9</v>
      </c>
      <c r="H62" s="90" t="s">
        <v>13</v>
      </c>
      <c r="L62" s="92">
        <v>0</v>
      </c>
    </row>
    <row r="63" spans="1:12" x14ac:dyDescent="0.25">
      <c r="A63" s="90" t="s">
        <v>19</v>
      </c>
      <c r="B63" s="90" t="s">
        <v>598</v>
      </c>
      <c r="C63" s="90" t="s">
        <v>599</v>
      </c>
      <c r="D63" s="92">
        <v>9456</v>
      </c>
      <c r="E63" s="92">
        <v>9456</v>
      </c>
      <c r="F63" s="93">
        <v>8407.67</v>
      </c>
      <c r="G63" s="97">
        <v>88.9</v>
      </c>
      <c r="H63" s="90" t="s">
        <v>13</v>
      </c>
      <c r="L63" s="92">
        <v>0</v>
      </c>
    </row>
    <row r="64" spans="1:12" x14ac:dyDescent="0.25">
      <c r="A64" s="90" t="s">
        <v>19</v>
      </c>
      <c r="B64" s="90" t="s">
        <v>600</v>
      </c>
      <c r="C64" s="90" t="s">
        <v>601</v>
      </c>
      <c r="D64" s="92">
        <v>107994</v>
      </c>
      <c r="E64" s="92">
        <v>107994</v>
      </c>
      <c r="F64" s="93">
        <v>105221.05</v>
      </c>
      <c r="G64" s="97">
        <v>97.4</v>
      </c>
      <c r="H64" s="90" t="s">
        <v>13</v>
      </c>
      <c r="L64" s="92">
        <v>0</v>
      </c>
    </row>
    <row r="65" spans="1:12" x14ac:dyDescent="0.25">
      <c r="A65" s="90" t="s">
        <v>19</v>
      </c>
      <c r="B65" s="90" t="s">
        <v>606</v>
      </c>
      <c r="C65" s="90" t="s">
        <v>607</v>
      </c>
      <c r="D65" s="92">
        <v>4027</v>
      </c>
      <c r="E65" s="92">
        <v>4027</v>
      </c>
      <c r="F65" s="93">
        <v>3434.93</v>
      </c>
      <c r="G65" s="97">
        <v>85.3</v>
      </c>
      <c r="H65" s="90" t="s">
        <v>13</v>
      </c>
      <c r="L65" s="92">
        <v>0</v>
      </c>
    </row>
    <row r="66" spans="1:12" x14ac:dyDescent="0.25">
      <c r="A66" s="90" t="s">
        <v>19</v>
      </c>
      <c r="B66" s="90" t="s">
        <v>608</v>
      </c>
      <c r="C66" s="90" t="s">
        <v>609</v>
      </c>
      <c r="D66" s="92">
        <v>17721</v>
      </c>
      <c r="E66" s="92">
        <v>17721</v>
      </c>
      <c r="F66" s="93">
        <v>16351.64</v>
      </c>
      <c r="G66" s="97">
        <v>92.3</v>
      </c>
      <c r="H66" s="90" t="s">
        <v>13</v>
      </c>
      <c r="L66" s="92">
        <v>0</v>
      </c>
    </row>
    <row r="67" spans="1:12" x14ac:dyDescent="0.25">
      <c r="A67" s="90" t="s">
        <v>19</v>
      </c>
      <c r="B67" s="90" t="s">
        <v>634</v>
      </c>
      <c r="C67" s="90" t="s">
        <v>635</v>
      </c>
      <c r="D67" s="92">
        <v>35641</v>
      </c>
      <c r="E67" s="92">
        <v>35641</v>
      </c>
      <c r="F67" s="93">
        <v>20651.61</v>
      </c>
      <c r="G67" s="97">
        <v>57.9</v>
      </c>
      <c r="H67" s="90" t="s">
        <v>13</v>
      </c>
      <c r="L67" s="92">
        <v>0</v>
      </c>
    </row>
    <row r="68" spans="1:12" x14ac:dyDescent="0.25">
      <c r="A68" s="90" t="s">
        <v>19</v>
      </c>
      <c r="B68" s="90" t="s">
        <v>636</v>
      </c>
      <c r="C68" s="90" t="s">
        <v>637</v>
      </c>
      <c r="D68" s="92">
        <v>500</v>
      </c>
      <c r="E68" s="92">
        <v>500</v>
      </c>
      <c r="F68" s="93">
        <v>0</v>
      </c>
      <c r="G68" s="97">
        <v>0</v>
      </c>
      <c r="H68" s="90" t="s">
        <v>13</v>
      </c>
      <c r="L68" s="92">
        <v>0</v>
      </c>
    </row>
    <row r="69" spans="1:12" x14ac:dyDescent="0.25">
      <c r="A69" s="90" t="s">
        <v>19</v>
      </c>
      <c r="B69" s="90" t="s">
        <v>610</v>
      </c>
      <c r="C69" s="90" t="s">
        <v>611</v>
      </c>
      <c r="D69" s="92">
        <v>7500</v>
      </c>
      <c r="E69" s="92">
        <v>7500</v>
      </c>
      <c r="F69" s="93">
        <v>2914.48</v>
      </c>
      <c r="G69" s="97">
        <v>38.9</v>
      </c>
      <c r="H69" s="90" t="s">
        <v>13</v>
      </c>
      <c r="L69" s="92">
        <v>0</v>
      </c>
    </row>
    <row r="70" spans="1:12" x14ac:dyDescent="0.25">
      <c r="A70" s="90" t="s">
        <v>19</v>
      </c>
      <c r="B70" s="90" t="s">
        <v>612</v>
      </c>
      <c r="C70" s="90" t="s">
        <v>613</v>
      </c>
      <c r="D70" s="92">
        <v>4000</v>
      </c>
      <c r="E70" s="92">
        <v>4000</v>
      </c>
      <c r="F70" s="93">
        <v>0</v>
      </c>
      <c r="G70" s="97">
        <v>0</v>
      </c>
      <c r="H70" s="90" t="s">
        <v>13</v>
      </c>
      <c r="L70" s="92">
        <v>0</v>
      </c>
    </row>
    <row r="71" spans="1:12" x14ac:dyDescent="0.25">
      <c r="A71" s="90" t="s">
        <v>19</v>
      </c>
      <c r="B71" s="90" t="s">
        <v>616</v>
      </c>
      <c r="C71" s="90" t="s">
        <v>617</v>
      </c>
      <c r="D71" s="92">
        <v>2500</v>
      </c>
      <c r="E71" s="92">
        <v>2500</v>
      </c>
      <c r="F71" s="93">
        <v>300</v>
      </c>
      <c r="G71" s="97">
        <v>12</v>
      </c>
      <c r="H71" s="90" t="s">
        <v>13</v>
      </c>
      <c r="L71" s="92">
        <v>0</v>
      </c>
    </row>
    <row r="72" spans="1:12" x14ac:dyDescent="0.25">
      <c r="A72" s="90" t="s">
        <v>19</v>
      </c>
      <c r="B72" s="90" t="s">
        <v>618</v>
      </c>
      <c r="C72" s="90" t="s">
        <v>619</v>
      </c>
      <c r="D72" s="92">
        <v>1500</v>
      </c>
      <c r="E72" s="92">
        <v>1500</v>
      </c>
      <c r="F72" s="93">
        <v>200.11</v>
      </c>
      <c r="G72" s="97">
        <v>13.3</v>
      </c>
      <c r="H72" s="90" t="s">
        <v>13</v>
      </c>
      <c r="L72" s="92">
        <v>0</v>
      </c>
    </row>
    <row r="73" spans="1:12" x14ac:dyDescent="0.25">
      <c r="A73" s="90" t="s">
        <v>19</v>
      </c>
      <c r="B73" s="90" t="s">
        <v>651</v>
      </c>
      <c r="C73" s="90" t="s">
        <v>652</v>
      </c>
      <c r="D73" s="92">
        <v>248444</v>
      </c>
      <c r="E73" s="92">
        <v>248444</v>
      </c>
      <c r="F73" s="93">
        <v>220675.92</v>
      </c>
      <c r="G73" s="97">
        <v>88.8</v>
      </c>
      <c r="H73" s="90" t="s">
        <v>13</v>
      </c>
      <c r="L73" s="92">
        <v>0</v>
      </c>
    </row>
    <row r="74" spans="1:12" x14ac:dyDescent="0.25">
      <c r="A74" s="90" t="s">
        <v>19</v>
      </c>
      <c r="B74" s="90" t="s">
        <v>622</v>
      </c>
      <c r="C74" s="90" t="s">
        <v>623</v>
      </c>
      <c r="D74" s="92">
        <v>6700</v>
      </c>
      <c r="E74" s="92">
        <v>6700</v>
      </c>
      <c r="F74" s="93">
        <v>6847.29</v>
      </c>
      <c r="G74" s="97">
        <v>102.2</v>
      </c>
      <c r="H74" s="90" t="s">
        <v>158</v>
      </c>
      <c r="L74" s="92">
        <v>0</v>
      </c>
    </row>
    <row r="75" spans="1:12" x14ac:dyDescent="0.25">
      <c r="A75" s="90" t="s">
        <v>19</v>
      </c>
      <c r="B75" s="90" t="s">
        <v>624</v>
      </c>
      <c r="C75" s="90" t="s">
        <v>625</v>
      </c>
      <c r="D75" s="92">
        <v>500</v>
      </c>
      <c r="E75" s="92">
        <v>500</v>
      </c>
      <c r="F75" s="93">
        <v>0</v>
      </c>
      <c r="G75" s="97">
        <v>0</v>
      </c>
      <c r="H75" s="90" t="s">
        <v>13</v>
      </c>
      <c r="J75" s="24" t="s">
        <v>152</v>
      </c>
      <c r="L75" s="92">
        <v>0</v>
      </c>
    </row>
    <row r="76" spans="1:12" x14ac:dyDescent="0.25">
      <c r="C76" s="91" t="s">
        <v>653</v>
      </c>
      <c r="D76" s="98">
        <f>SUM(D61:D75)</f>
        <v>1139056</v>
      </c>
      <c r="E76" s="98">
        <f t="shared" ref="E76:F76" si="3">SUM(E61:E75)</f>
        <v>1139056</v>
      </c>
      <c r="F76" s="98">
        <f t="shared" si="3"/>
        <v>1026930.2100000002</v>
      </c>
      <c r="K76" s="24" t="s">
        <v>152</v>
      </c>
      <c r="L76" s="98">
        <f>SUM(L61:L75)</f>
        <v>0</v>
      </c>
    </row>
    <row r="77" spans="1:12" x14ac:dyDescent="0.25">
      <c r="A77" s="90" t="s">
        <v>21</v>
      </c>
      <c r="B77" s="90" t="s">
        <v>592</v>
      </c>
      <c r="C77" s="90" t="s">
        <v>593</v>
      </c>
      <c r="D77" s="92">
        <v>398980</v>
      </c>
      <c r="E77" s="92">
        <v>398980</v>
      </c>
      <c r="F77" s="93">
        <v>386924.36</v>
      </c>
      <c r="G77" s="97">
        <v>97</v>
      </c>
      <c r="H77" s="90" t="s">
        <v>13</v>
      </c>
      <c r="L77" s="92">
        <v>0</v>
      </c>
    </row>
    <row r="78" spans="1:12" x14ac:dyDescent="0.25">
      <c r="A78" s="90" t="s">
        <v>21</v>
      </c>
      <c r="B78" s="90" t="s">
        <v>596</v>
      </c>
      <c r="C78" s="90" t="s">
        <v>597</v>
      </c>
      <c r="D78" s="92">
        <v>24737</v>
      </c>
      <c r="E78" s="92">
        <v>24737</v>
      </c>
      <c r="F78" s="93">
        <v>23337.72</v>
      </c>
      <c r="G78" s="97">
        <v>94.3</v>
      </c>
      <c r="H78" s="90" t="s">
        <v>13</v>
      </c>
      <c r="L78" s="92">
        <v>0</v>
      </c>
    </row>
    <row r="79" spans="1:12" x14ac:dyDescent="0.25">
      <c r="A79" s="90" t="s">
        <v>21</v>
      </c>
      <c r="B79" s="90" t="s">
        <v>598</v>
      </c>
      <c r="C79" s="90" t="s">
        <v>599</v>
      </c>
      <c r="D79" s="92">
        <v>5785</v>
      </c>
      <c r="E79" s="92">
        <v>5785</v>
      </c>
      <c r="F79" s="93">
        <v>5458.01</v>
      </c>
      <c r="G79" s="97">
        <v>94.3</v>
      </c>
      <c r="H79" s="90" t="s">
        <v>13</v>
      </c>
      <c r="L79" s="92">
        <v>0</v>
      </c>
    </row>
    <row r="80" spans="1:12" x14ac:dyDescent="0.25">
      <c r="A80" s="90" t="s">
        <v>21</v>
      </c>
      <c r="B80" s="90" t="s">
        <v>600</v>
      </c>
      <c r="C80" s="90" t="s">
        <v>601</v>
      </c>
      <c r="D80" s="92">
        <v>66071</v>
      </c>
      <c r="E80" s="92">
        <v>66071</v>
      </c>
      <c r="F80" s="93">
        <v>67257.039999999994</v>
      </c>
      <c r="G80" s="97">
        <v>101.8</v>
      </c>
      <c r="H80" s="90" t="s">
        <v>158</v>
      </c>
      <c r="L80" s="92">
        <v>0</v>
      </c>
    </row>
    <row r="81" spans="1:12" x14ac:dyDescent="0.25">
      <c r="A81" s="90" t="s">
        <v>21</v>
      </c>
      <c r="B81" s="90" t="s">
        <v>606</v>
      </c>
      <c r="C81" s="90" t="s">
        <v>607</v>
      </c>
      <c r="D81" s="92">
        <v>6200</v>
      </c>
      <c r="E81" s="92">
        <v>6200</v>
      </c>
      <c r="F81" s="93">
        <v>1836.3</v>
      </c>
      <c r="G81" s="97">
        <v>29.6</v>
      </c>
      <c r="H81" s="90" t="s">
        <v>13</v>
      </c>
      <c r="L81" s="92">
        <v>0</v>
      </c>
    </row>
    <row r="82" spans="1:12" x14ac:dyDescent="0.25">
      <c r="A82" s="90" t="s">
        <v>21</v>
      </c>
      <c r="B82" s="90" t="s">
        <v>608</v>
      </c>
      <c r="C82" s="90" t="s">
        <v>609</v>
      </c>
      <c r="D82" s="92">
        <v>8500</v>
      </c>
      <c r="E82" s="92">
        <v>8500</v>
      </c>
      <c r="F82" s="93">
        <v>858.14</v>
      </c>
      <c r="G82" s="97">
        <v>10.1</v>
      </c>
      <c r="H82" s="90" t="s">
        <v>13</v>
      </c>
      <c r="L82" s="92">
        <v>0</v>
      </c>
    </row>
    <row r="83" spans="1:12" x14ac:dyDescent="0.25">
      <c r="A83" s="90" t="s">
        <v>21</v>
      </c>
      <c r="B83" s="90" t="s">
        <v>634</v>
      </c>
      <c r="C83" s="90" t="s">
        <v>635</v>
      </c>
      <c r="D83" s="92">
        <v>11000</v>
      </c>
      <c r="E83" s="92">
        <v>11000</v>
      </c>
      <c r="F83" s="93">
        <v>417.5</v>
      </c>
      <c r="G83" s="97">
        <v>3.8</v>
      </c>
      <c r="H83" s="90" t="s">
        <v>13</v>
      </c>
      <c r="L83" s="92">
        <v>0</v>
      </c>
    </row>
    <row r="84" spans="1:12" x14ac:dyDescent="0.25">
      <c r="A84" s="90" t="s">
        <v>21</v>
      </c>
      <c r="B84" s="90" t="s">
        <v>610</v>
      </c>
      <c r="C84" s="90" t="s">
        <v>611</v>
      </c>
      <c r="D84" s="92">
        <v>15500</v>
      </c>
      <c r="E84" s="92">
        <v>8500</v>
      </c>
      <c r="F84" s="93">
        <v>3189.64</v>
      </c>
      <c r="G84" s="97">
        <v>37.5</v>
      </c>
      <c r="H84" s="90" t="s">
        <v>13</v>
      </c>
      <c r="L84" s="92">
        <v>-7000</v>
      </c>
    </row>
    <row r="85" spans="1:12" x14ac:dyDescent="0.25">
      <c r="A85" s="90" t="s">
        <v>21</v>
      </c>
      <c r="B85" s="90" t="s">
        <v>612</v>
      </c>
      <c r="C85" s="90" t="s">
        <v>613</v>
      </c>
      <c r="D85" s="92">
        <v>500</v>
      </c>
      <c r="E85" s="92">
        <v>500</v>
      </c>
      <c r="F85" s="93">
        <v>0</v>
      </c>
      <c r="G85" s="97">
        <v>0</v>
      </c>
      <c r="H85" s="90" t="s">
        <v>13</v>
      </c>
      <c r="L85" s="92">
        <v>0</v>
      </c>
    </row>
    <row r="86" spans="1:12" x14ac:dyDescent="0.25">
      <c r="A86" s="90" t="s">
        <v>21</v>
      </c>
      <c r="B86" s="90" t="s">
        <v>616</v>
      </c>
      <c r="C86" s="90" t="s">
        <v>617</v>
      </c>
      <c r="D86" s="92">
        <v>500</v>
      </c>
      <c r="E86" s="92">
        <v>500</v>
      </c>
      <c r="F86" s="93">
        <v>0</v>
      </c>
      <c r="G86" s="97">
        <v>0</v>
      </c>
      <c r="H86" s="90" t="s">
        <v>13</v>
      </c>
      <c r="L86" s="92">
        <v>0</v>
      </c>
    </row>
    <row r="87" spans="1:12" x14ac:dyDescent="0.25">
      <c r="A87" s="90" t="s">
        <v>21</v>
      </c>
      <c r="B87" s="90" t="s">
        <v>618</v>
      </c>
      <c r="C87" s="90" t="s">
        <v>619</v>
      </c>
      <c r="D87" s="92">
        <v>1950</v>
      </c>
      <c r="E87" s="92">
        <v>1950</v>
      </c>
      <c r="F87" s="93">
        <v>0</v>
      </c>
      <c r="G87" s="97">
        <v>0</v>
      </c>
      <c r="H87" s="90" t="s">
        <v>13</v>
      </c>
      <c r="L87" s="92">
        <v>0</v>
      </c>
    </row>
    <row r="88" spans="1:12" x14ac:dyDescent="0.25">
      <c r="A88" s="90" t="s">
        <v>21</v>
      </c>
      <c r="B88" s="90" t="s">
        <v>622</v>
      </c>
      <c r="C88" s="90" t="s">
        <v>623</v>
      </c>
      <c r="D88" s="92">
        <v>11000</v>
      </c>
      <c r="E88" s="92">
        <v>11000</v>
      </c>
      <c r="F88" s="93">
        <v>7213.9</v>
      </c>
      <c r="G88" s="97">
        <v>65.599999999999994</v>
      </c>
      <c r="H88" s="90" t="s">
        <v>13</v>
      </c>
      <c r="L88" s="92">
        <v>0</v>
      </c>
    </row>
    <row r="89" spans="1:12" x14ac:dyDescent="0.25">
      <c r="A89" s="90" t="s">
        <v>21</v>
      </c>
      <c r="B89" s="90" t="s">
        <v>654</v>
      </c>
      <c r="C89" s="90" t="s">
        <v>655</v>
      </c>
      <c r="D89" s="92">
        <v>0</v>
      </c>
      <c r="E89" s="92">
        <v>7000</v>
      </c>
      <c r="F89" s="93">
        <v>2244.86</v>
      </c>
      <c r="G89" s="97">
        <v>32.1</v>
      </c>
      <c r="H89" s="90" t="s">
        <v>13</v>
      </c>
      <c r="L89" s="92">
        <v>7000</v>
      </c>
    </row>
    <row r="90" spans="1:12" x14ac:dyDescent="0.25">
      <c r="A90" s="90" t="s">
        <v>21</v>
      </c>
      <c r="B90" s="90" t="s">
        <v>656</v>
      </c>
      <c r="C90" s="90" t="s">
        <v>641</v>
      </c>
      <c r="D90" s="92">
        <v>500</v>
      </c>
      <c r="E90" s="92">
        <v>500</v>
      </c>
      <c r="F90" s="93">
        <v>104</v>
      </c>
      <c r="G90" s="97">
        <v>20.8</v>
      </c>
      <c r="H90" s="90" t="s">
        <v>13</v>
      </c>
      <c r="L90" s="92">
        <v>0</v>
      </c>
    </row>
    <row r="91" spans="1:12" x14ac:dyDescent="0.25">
      <c r="C91" s="91" t="s">
        <v>657</v>
      </c>
      <c r="D91" s="98">
        <f>SUM(D77:D90)</f>
        <v>551223</v>
      </c>
      <c r="E91" s="98">
        <f t="shared" ref="E91:F91" si="4">SUM(E77:E90)</f>
        <v>551223</v>
      </c>
      <c r="F91" s="98">
        <f t="shared" si="4"/>
        <v>498841.47</v>
      </c>
      <c r="L91" s="98">
        <f>SUM(L77:L90)</f>
        <v>0</v>
      </c>
    </row>
    <row r="92" spans="1:12" x14ac:dyDescent="0.25">
      <c r="A92" s="90" t="s">
        <v>23</v>
      </c>
      <c r="B92" s="90" t="s">
        <v>592</v>
      </c>
      <c r="C92" s="90" t="s">
        <v>593</v>
      </c>
      <c r="D92" s="92">
        <v>783640</v>
      </c>
      <c r="E92" s="92">
        <v>783640</v>
      </c>
      <c r="F92" s="93">
        <v>793853.24</v>
      </c>
      <c r="G92" s="97">
        <v>101.3</v>
      </c>
      <c r="H92" s="90" t="s">
        <v>158</v>
      </c>
      <c r="L92" s="92">
        <v>0</v>
      </c>
    </row>
    <row r="93" spans="1:12" x14ac:dyDescent="0.25">
      <c r="A93" s="90" t="s">
        <v>23</v>
      </c>
      <c r="B93" s="90" t="s">
        <v>596</v>
      </c>
      <c r="C93" s="90" t="s">
        <v>597</v>
      </c>
      <c r="D93" s="92">
        <v>48586</v>
      </c>
      <c r="E93" s="92">
        <v>48586</v>
      </c>
      <c r="F93" s="93">
        <v>47358.13</v>
      </c>
      <c r="G93" s="97">
        <v>97.5</v>
      </c>
      <c r="H93" s="90" t="s">
        <v>13</v>
      </c>
      <c r="L93" s="92">
        <v>0</v>
      </c>
    </row>
    <row r="94" spans="1:12" x14ac:dyDescent="0.25">
      <c r="A94" s="90" t="s">
        <v>23</v>
      </c>
      <c r="B94" s="90" t="s">
        <v>598</v>
      </c>
      <c r="C94" s="90" t="s">
        <v>599</v>
      </c>
      <c r="D94" s="92">
        <v>11363</v>
      </c>
      <c r="E94" s="92">
        <v>11363</v>
      </c>
      <c r="F94" s="93">
        <v>11075.66</v>
      </c>
      <c r="G94" s="97">
        <v>97.5</v>
      </c>
      <c r="H94" s="90" t="s">
        <v>13</v>
      </c>
      <c r="L94" s="92">
        <v>0</v>
      </c>
    </row>
    <row r="95" spans="1:12" x14ac:dyDescent="0.25">
      <c r="A95" s="90" t="s">
        <v>23</v>
      </c>
      <c r="B95" s="90" t="s">
        <v>600</v>
      </c>
      <c r="C95" s="90" t="s">
        <v>601</v>
      </c>
      <c r="D95" s="92">
        <v>129771</v>
      </c>
      <c r="E95" s="92">
        <v>129771</v>
      </c>
      <c r="F95" s="93">
        <v>128261.65</v>
      </c>
      <c r="G95" s="97">
        <v>98.8</v>
      </c>
      <c r="H95" s="90" t="s">
        <v>13</v>
      </c>
      <c r="L95" s="92">
        <v>0</v>
      </c>
    </row>
    <row r="96" spans="1:12" x14ac:dyDescent="0.25">
      <c r="A96" s="90" t="s">
        <v>23</v>
      </c>
      <c r="B96" s="90" t="s">
        <v>602</v>
      </c>
      <c r="C96" s="90" t="s">
        <v>603</v>
      </c>
      <c r="D96" s="92">
        <v>0</v>
      </c>
      <c r="E96" s="92">
        <v>0</v>
      </c>
      <c r="F96" s="93">
        <v>12556.66</v>
      </c>
      <c r="G96" s="97">
        <v>100</v>
      </c>
      <c r="H96" s="90" t="s">
        <v>158</v>
      </c>
      <c r="L96" s="92">
        <v>0</v>
      </c>
    </row>
    <row r="97" spans="1:12" x14ac:dyDescent="0.25">
      <c r="A97" s="90" t="s">
        <v>23</v>
      </c>
      <c r="B97" s="90" t="s">
        <v>604</v>
      </c>
      <c r="C97" s="90" t="s">
        <v>605</v>
      </c>
      <c r="D97" s="92">
        <v>1700</v>
      </c>
      <c r="E97" s="92">
        <v>2032</v>
      </c>
      <c r="F97" s="93">
        <v>1989.9</v>
      </c>
      <c r="G97" s="97">
        <v>97.9</v>
      </c>
      <c r="H97" s="90" t="s">
        <v>13</v>
      </c>
      <c r="L97" s="92">
        <v>332</v>
      </c>
    </row>
    <row r="98" spans="1:12" x14ac:dyDescent="0.25">
      <c r="A98" s="90" t="s">
        <v>23</v>
      </c>
      <c r="B98" s="90" t="s">
        <v>658</v>
      </c>
      <c r="C98" s="90" t="s">
        <v>659</v>
      </c>
      <c r="D98" s="92">
        <v>34150</v>
      </c>
      <c r="E98" s="92">
        <v>34150</v>
      </c>
      <c r="F98" s="93">
        <v>36033.269999999997</v>
      </c>
      <c r="G98" s="97">
        <v>105.5</v>
      </c>
      <c r="H98" s="90" t="s">
        <v>158</v>
      </c>
      <c r="L98" s="92">
        <v>0</v>
      </c>
    </row>
    <row r="99" spans="1:12" x14ac:dyDescent="0.25">
      <c r="A99" s="90" t="s">
        <v>23</v>
      </c>
      <c r="B99" s="90" t="s">
        <v>606</v>
      </c>
      <c r="C99" s="90" t="s">
        <v>607</v>
      </c>
      <c r="D99" s="92">
        <v>5000</v>
      </c>
      <c r="E99" s="92">
        <v>5758</v>
      </c>
      <c r="F99" s="93">
        <v>5721.45</v>
      </c>
      <c r="G99" s="97">
        <v>99.4</v>
      </c>
      <c r="H99" s="90" t="s">
        <v>13</v>
      </c>
      <c r="L99" s="92">
        <v>758</v>
      </c>
    </row>
    <row r="100" spans="1:12" x14ac:dyDescent="0.25">
      <c r="A100" s="90" t="s">
        <v>23</v>
      </c>
      <c r="B100" s="90" t="s">
        <v>608</v>
      </c>
      <c r="C100" s="90" t="s">
        <v>609</v>
      </c>
      <c r="D100" s="92">
        <v>5800</v>
      </c>
      <c r="E100" s="92">
        <v>6267</v>
      </c>
      <c r="F100" s="93">
        <v>6265.86</v>
      </c>
      <c r="G100" s="97">
        <v>100</v>
      </c>
      <c r="H100" s="90" t="s">
        <v>13</v>
      </c>
      <c r="L100" s="92">
        <v>467</v>
      </c>
    </row>
    <row r="101" spans="1:12" x14ac:dyDescent="0.25">
      <c r="A101" s="90" t="s">
        <v>23</v>
      </c>
      <c r="B101" s="90" t="s">
        <v>634</v>
      </c>
      <c r="C101" s="90" t="s">
        <v>635</v>
      </c>
      <c r="D101" s="92">
        <v>5600</v>
      </c>
      <c r="E101" s="92">
        <v>5330</v>
      </c>
      <c r="F101" s="93">
        <v>5330</v>
      </c>
      <c r="G101" s="97">
        <v>100</v>
      </c>
      <c r="H101" s="90" t="s">
        <v>13</v>
      </c>
      <c r="L101" s="92">
        <v>-270</v>
      </c>
    </row>
    <row r="102" spans="1:12" x14ac:dyDescent="0.25">
      <c r="A102" s="90" t="s">
        <v>23</v>
      </c>
      <c r="B102" s="90" t="s">
        <v>636</v>
      </c>
      <c r="C102" s="90" t="s">
        <v>637</v>
      </c>
      <c r="D102" s="92">
        <v>300</v>
      </c>
      <c r="E102" s="92">
        <v>77</v>
      </c>
      <c r="F102" s="93">
        <v>0</v>
      </c>
      <c r="G102" s="97">
        <v>0</v>
      </c>
      <c r="H102" s="90" t="s">
        <v>13</v>
      </c>
      <c r="I102" s="24" t="s">
        <v>152</v>
      </c>
      <c r="L102" s="92">
        <v>-223</v>
      </c>
    </row>
    <row r="103" spans="1:12" x14ac:dyDescent="0.25">
      <c r="A103" s="90" t="s">
        <v>23</v>
      </c>
      <c r="B103" s="90" t="s">
        <v>610</v>
      </c>
      <c r="C103" s="90" t="s">
        <v>611</v>
      </c>
      <c r="D103" s="92">
        <v>2000</v>
      </c>
      <c r="E103" s="92">
        <v>2000</v>
      </c>
      <c r="F103" s="93">
        <v>1894.4</v>
      </c>
      <c r="G103" s="97">
        <v>94.7</v>
      </c>
      <c r="H103" s="90" t="s">
        <v>13</v>
      </c>
      <c r="L103" s="92">
        <v>0</v>
      </c>
    </row>
    <row r="104" spans="1:12" x14ac:dyDescent="0.25">
      <c r="A104" s="90" t="s">
        <v>23</v>
      </c>
      <c r="B104" s="90" t="s">
        <v>612</v>
      </c>
      <c r="C104" s="90" t="s">
        <v>613</v>
      </c>
      <c r="D104" s="92">
        <v>10000</v>
      </c>
      <c r="E104" s="92">
        <v>0</v>
      </c>
      <c r="F104" s="93">
        <v>0</v>
      </c>
      <c r="G104" s="97">
        <v>0</v>
      </c>
      <c r="H104" s="90" t="s">
        <v>13</v>
      </c>
      <c r="L104" s="92">
        <v>-10000</v>
      </c>
    </row>
    <row r="105" spans="1:12" x14ac:dyDescent="0.25">
      <c r="A105" s="90" t="s">
        <v>23</v>
      </c>
      <c r="B105" s="90" t="s">
        <v>616</v>
      </c>
      <c r="C105" s="90" t="s">
        <v>617</v>
      </c>
      <c r="D105" s="92">
        <v>5000</v>
      </c>
      <c r="E105" s="92">
        <v>4030</v>
      </c>
      <c r="F105" s="93">
        <v>4029.25</v>
      </c>
      <c r="G105" s="97">
        <v>100</v>
      </c>
      <c r="H105" s="90" t="s">
        <v>13</v>
      </c>
      <c r="L105" s="92">
        <v>-970</v>
      </c>
    </row>
    <row r="106" spans="1:12" x14ac:dyDescent="0.25">
      <c r="A106" s="90" t="s">
        <v>23</v>
      </c>
      <c r="B106" s="90" t="s">
        <v>618</v>
      </c>
      <c r="C106" s="90" t="s">
        <v>619</v>
      </c>
      <c r="D106" s="92">
        <v>8500</v>
      </c>
      <c r="E106" s="92">
        <v>20126</v>
      </c>
      <c r="F106" s="93">
        <v>19947.32</v>
      </c>
      <c r="G106" s="97">
        <v>99.1</v>
      </c>
      <c r="H106" s="90" t="s">
        <v>13</v>
      </c>
      <c r="L106" s="92">
        <v>11626</v>
      </c>
    </row>
    <row r="107" spans="1:12" x14ac:dyDescent="0.25">
      <c r="A107" s="90" t="s">
        <v>23</v>
      </c>
      <c r="B107" s="90" t="s">
        <v>638</v>
      </c>
      <c r="C107" s="90" t="s">
        <v>639</v>
      </c>
      <c r="D107" s="92">
        <v>700</v>
      </c>
      <c r="E107" s="92">
        <v>700</v>
      </c>
      <c r="F107" s="93">
        <v>0</v>
      </c>
      <c r="G107" s="97">
        <v>0</v>
      </c>
      <c r="H107" s="90" t="s">
        <v>13</v>
      </c>
      <c r="L107" s="92">
        <v>0</v>
      </c>
    </row>
    <row r="108" spans="1:12" x14ac:dyDescent="0.25">
      <c r="A108" s="90" t="s">
        <v>23</v>
      </c>
      <c r="B108" s="90" t="s">
        <v>622</v>
      </c>
      <c r="C108" s="90" t="s">
        <v>623</v>
      </c>
      <c r="D108" s="92">
        <v>6500</v>
      </c>
      <c r="E108" s="92">
        <v>7780</v>
      </c>
      <c r="F108" s="93">
        <v>7779.93</v>
      </c>
      <c r="G108" s="97">
        <v>100</v>
      </c>
      <c r="H108" s="90" t="s">
        <v>13</v>
      </c>
      <c r="L108" s="92">
        <v>1280</v>
      </c>
    </row>
    <row r="109" spans="1:12" x14ac:dyDescent="0.25">
      <c r="A109" s="90" t="s">
        <v>23</v>
      </c>
      <c r="B109" s="90" t="s">
        <v>624</v>
      </c>
      <c r="C109" s="90" t="s">
        <v>625</v>
      </c>
      <c r="D109" s="92">
        <v>3000</v>
      </c>
      <c r="E109" s="92">
        <v>0</v>
      </c>
      <c r="F109" s="93">
        <v>0</v>
      </c>
      <c r="G109" s="97">
        <v>0</v>
      </c>
      <c r="H109" s="90" t="s">
        <v>13</v>
      </c>
      <c r="L109" s="92">
        <v>-3000</v>
      </c>
    </row>
    <row r="110" spans="1:12" x14ac:dyDescent="0.25">
      <c r="C110" s="91" t="s">
        <v>660</v>
      </c>
      <c r="D110" s="98">
        <f>SUM(D92:D109)</f>
        <v>1061610</v>
      </c>
      <c r="E110" s="98">
        <f t="shared" ref="E110:F110" si="5">SUM(E92:E109)</f>
        <v>1061610</v>
      </c>
      <c r="F110" s="98">
        <f t="shared" si="5"/>
        <v>1082096.72</v>
      </c>
      <c r="L110" s="98">
        <f>SUM(L92:L109)</f>
        <v>0</v>
      </c>
    </row>
    <row r="111" spans="1:12" x14ac:dyDescent="0.25">
      <c r="A111" s="90" t="s">
        <v>25</v>
      </c>
      <c r="B111" s="90" t="s">
        <v>592</v>
      </c>
      <c r="C111" s="90" t="s">
        <v>593</v>
      </c>
      <c r="D111" s="92">
        <v>664807</v>
      </c>
      <c r="E111" s="92">
        <v>664807</v>
      </c>
      <c r="F111" s="93">
        <v>624966.19999999995</v>
      </c>
      <c r="G111" s="97">
        <v>94</v>
      </c>
      <c r="H111" s="90" t="s">
        <v>13</v>
      </c>
      <c r="L111" s="92">
        <v>0</v>
      </c>
    </row>
    <row r="112" spans="1:12" x14ac:dyDescent="0.25">
      <c r="A112" s="90" t="s">
        <v>25</v>
      </c>
      <c r="B112" s="90" t="s">
        <v>594</v>
      </c>
      <c r="C112" s="90" t="s">
        <v>595</v>
      </c>
      <c r="D112" s="92">
        <v>5000</v>
      </c>
      <c r="E112" s="92">
        <v>5000</v>
      </c>
      <c r="F112" s="93">
        <v>0</v>
      </c>
      <c r="G112" s="97">
        <v>0</v>
      </c>
      <c r="H112" s="90" t="s">
        <v>13</v>
      </c>
      <c r="L112" s="92">
        <v>0</v>
      </c>
    </row>
    <row r="113" spans="1:12" x14ac:dyDescent="0.25">
      <c r="A113" s="90" t="s">
        <v>25</v>
      </c>
      <c r="B113" s="90" t="s">
        <v>596</v>
      </c>
      <c r="C113" s="90" t="s">
        <v>597</v>
      </c>
      <c r="D113" s="92">
        <v>41528</v>
      </c>
      <c r="E113" s="92">
        <v>41528</v>
      </c>
      <c r="F113" s="93">
        <v>37941.51</v>
      </c>
      <c r="G113" s="97">
        <v>91.4</v>
      </c>
      <c r="H113" s="90" t="s">
        <v>13</v>
      </c>
      <c r="L113" s="92">
        <v>0</v>
      </c>
    </row>
    <row r="114" spans="1:12" x14ac:dyDescent="0.25">
      <c r="A114" s="90" t="s">
        <v>25</v>
      </c>
      <c r="B114" s="90" t="s">
        <v>598</v>
      </c>
      <c r="C114" s="90" t="s">
        <v>599</v>
      </c>
      <c r="D114" s="92">
        <v>9649</v>
      </c>
      <c r="E114" s="92">
        <v>9649</v>
      </c>
      <c r="F114" s="93">
        <v>8873.3700000000008</v>
      </c>
      <c r="G114" s="97">
        <v>92</v>
      </c>
      <c r="H114" s="90" t="s">
        <v>13</v>
      </c>
      <c r="L114" s="92">
        <v>0</v>
      </c>
    </row>
    <row r="115" spans="1:12" x14ac:dyDescent="0.25">
      <c r="A115" s="90" t="s">
        <v>25</v>
      </c>
      <c r="B115" s="90" t="s">
        <v>600</v>
      </c>
      <c r="C115" s="90" t="s">
        <v>601</v>
      </c>
      <c r="D115" s="92">
        <v>97951</v>
      </c>
      <c r="E115" s="92">
        <v>97951</v>
      </c>
      <c r="F115" s="93">
        <v>93392.16</v>
      </c>
      <c r="G115" s="97">
        <v>95.3</v>
      </c>
      <c r="H115" s="90" t="s">
        <v>13</v>
      </c>
      <c r="L115" s="92">
        <v>0</v>
      </c>
    </row>
    <row r="116" spans="1:12" x14ac:dyDescent="0.25">
      <c r="A116" s="90" t="s">
        <v>25</v>
      </c>
      <c r="B116" s="90" t="s">
        <v>602</v>
      </c>
      <c r="C116" s="90" t="s">
        <v>603</v>
      </c>
      <c r="D116" s="92">
        <v>15069</v>
      </c>
      <c r="E116" s="92">
        <v>15069</v>
      </c>
      <c r="F116" s="93">
        <v>18263.900000000001</v>
      </c>
      <c r="G116" s="97">
        <v>121.2</v>
      </c>
      <c r="H116" s="90" t="s">
        <v>158</v>
      </c>
      <c r="L116" s="92">
        <v>0</v>
      </c>
    </row>
    <row r="117" spans="1:12" x14ac:dyDescent="0.25">
      <c r="A117" s="90" t="s">
        <v>25</v>
      </c>
      <c r="B117" s="90" t="s">
        <v>608</v>
      </c>
      <c r="C117" s="90" t="s">
        <v>609</v>
      </c>
      <c r="D117" s="92">
        <v>800</v>
      </c>
      <c r="E117" s="92">
        <v>800</v>
      </c>
      <c r="F117" s="93">
        <v>377.55</v>
      </c>
      <c r="G117" s="97">
        <v>47.2</v>
      </c>
      <c r="H117" s="90" t="s">
        <v>13</v>
      </c>
      <c r="L117" s="92">
        <v>0</v>
      </c>
    </row>
    <row r="118" spans="1:12" x14ac:dyDescent="0.25">
      <c r="A118" s="90" t="s">
        <v>25</v>
      </c>
      <c r="B118" s="90" t="s">
        <v>634</v>
      </c>
      <c r="C118" s="90" t="s">
        <v>635</v>
      </c>
      <c r="D118" s="92">
        <v>1000</v>
      </c>
      <c r="E118" s="92">
        <v>1000</v>
      </c>
      <c r="F118" s="93">
        <v>665.01</v>
      </c>
      <c r="G118" s="97">
        <v>66.5</v>
      </c>
      <c r="H118" s="90" t="s">
        <v>13</v>
      </c>
      <c r="L118" s="92">
        <v>0</v>
      </c>
    </row>
    <row r="119" spans="1:12" x14ac:dyDescent="0.25">
      <c r="A119" s="90" t="s">
        <v>25</v>
      </c>
      <c r="B119" s="90" t="s">
        <v>636</v>
      </c>
      <c r="C119" s="90" t="s">
        <v>637</v>
      </c>
      <c r="D119" s="92">
        <v>1000</v>
      </c>
      <c r="E119" s="92">
        <v>1000</v>
      </c>
      <c r="F119" s="93">
        <v>80</v>
      </c>
      <c r="G119" s="97">
        <v>8</v>
      </c>
      <c r="H119" s="90" t="s">
        <v>13</v>
      </c>
      <c r="L119" s="92">
        <v>0</v>
      </c>
    </row>
    <row r="120" spans="1:12" x14ac:dyDescent="0.25">
      <c r="A120" s="90" t="s">
        <v>25</v>
      </c>
      <c r="B120" s="90" t="s">
        <v>661</v>
      </c>
      <c r="C120" s="90" t="s">
        <v>662</v>
      </c>
      <c r="D120" s="92">
        <v>4000</v>
      </c>
      <c r="E120" s="92">
        <v>4000</v>
      </c>
      <c r="F120" s="93">
        <v>0</v>
      </c>
      <c r="G120" s="97">
        <v>0</v>
      </c>
      <c r="H120" s="90" t="s">
        <v>13</v>
      </c>
      <c r="L120" s="92">
        <v>0</v>
      </c>
    </row>
    <row r="121" spans="1:12" x14ac:dyDescent="0.25">
      <c r="A121" s="90" t="s">
        <v>25</v>
      </c>
      <c r="B121" s="90" t="s">
        <v>610</v>
      </c>
      <c r="C121" s="90" t="s">
        <v>611</v>
      </c>
      <c r="D121" s="92">
        <v>600</v>
      </c>
      <c r="E121" s="92">
        <v>600</v>
      </c>
      <c r="F121" s="93">
        <v>673.08</v>
      </c>
      <c r="G121" s="97">
        <v>112.2</v>
      </c>
      <c r="H121" s="90" t="s">
        <v>158</v>
      </c>
      <c r="L121" s="92">
        <v>0</v>
      </c>
    </row>
    <row r="122" spans="1:12" x14ac:dyDescent="0.25">
      <c r="A122" s="90" t="s">
        <v>25</v>
      </c>
      <c r="B122" s="90" t="s">
        <v>612</v>
      </c>
      <c r="C122" s="90" t="s">
        <v>613</v>
      </c>
      <c r="D122" s="92">
        <v>125000</v>
      </c>
      <c r="E122" s="92">
        <v>125000</v>
      </c>
      <c r="F122" s="93">
        <v>77161.740000000005</v>
      </c>
      <c r="G122" s="97">
        <v>61.7</v>
      </c>
      <c r="H122" s="90" t="s">
        <v>13</v>
      </c>
      <c r="L122" s="92">
        <v>0</v>
      </c>
    </row>
    <row r="123" spans="1:12" x14ac:dyDescent="0.25">
      <c r="A123" s="90" t="s">
        <v>25</v>
      </c>
      <c r="B123" s="90" t="s">
        <v>631</v>
      </c>
      <c r="C123" s="90" t="s">
        <v>632</v>
      </c>
      <c r="D123" s="92">
        <v>1000</v>
      </c>
      <c r="E123" s="92">
        <v>1000</v>
      </c>
      <c r="F123" s="93">
        <v>1248.48</v>
      </c>
      <c r="G123" s="97">
        <v>124.8</v>
      </c>
      <c r="H123" s="90" t="s">
        <v>158</v>
      </c>
      <c r="L123" s="92">
        <v>0</v>
      </c>
    </row>
    <row r="124" spans="1:12" x14ac:dyDescent="0.25">
      <c r="A124" s="90" t="s">
        <v>25</v>
      </c>
      <c r="B124" s="90" t="s">
        <v>616</v>
      </c>
      <c r="C124" s="90" t="s">
        <v>617</v>
      </c>
      <c r="D124" s="92">
        <v>5750</v>
      </c>
      <c r="E124" s="92">
        <v>5750</v>
      </c>
      <c r="F124" s="93">
        <v>275</v>
      </c>
      <c r="G124" s="97">
        <v>4.8</v>
      </c>
      <c r="H124" s="90" t="s">
        <v>13</v>
      </c>
      <c r="L124" s="92">
        <v>0</v>
      </c>
    </row>
    <row r="125" spans="1:12" x14ac:dyDescent="0.25">
      <c r="A125" s="90" t="s">
        <v>25</v>
      </c>
      <c r="B125" s="90" t="s">
        <v>618</v>
      </c>
      <c r="C125" s="90" t="s">
        <v>619</v>
      </c>
      <c r="D125" s="92">
        <v>5000</v>
      </c>
      <c r="E125" s="92">
        <v>5000</v>
      </c>
      <c r="F125" s="93">
        <v>3716.42</v>
      </c>
      <c r="G125" s="97">
        <v>74.3</v>
      </c>
      <c r="H125" s="90" t="s">
        <v>13</v>
      </c>
      <c r="L125" s="92">
        <v>0</v>
      </c>
    </row>
    <row r="126" spans="1:12" x14ac:dyDescent="0.25">
      <c r="A126" s="90" t="s">
        <v>25</v>
      </c>
      <c r="B126" s="90" t="s">
        <v>642</v>
      </c>
      <c r="C126" s="90" t="s">
        <v>643</v>
      </c>
      <c r="D126" s="92">
        <v>0</v>
      </c>
      <c r="E126" s="92">
        <v>500</v>
      </c>
      <c r="F126" s="93">
        <v>480.96</v>
      </c>
      <c r="G126" s="97">
        <v>96.2</v>
      </c>
      <c r="H126" s="90" t="s">
        <v>13</v>
      </c>
      <c r="L126" s="92">
        <v>500</v>
      </c>
    </row>
    <row r="127" spans="1:12" x14ac:dyDescent="0.25">
      <c r="A127" s="90" t="s">
        <v>25</v>
      </c>
      <c r="B127" s="90" t="s">
        <v>622</v>
      </c>
      <c r="C127" s="90" t="s">
        <v>623</v>
      </c>
      <c r="D127" s="92">
        <v>21000</v>
      </c>
      <c r="E127" s="92">
        <v>20500</v>
      </c>
      <c r="F127" s="93">
        <v>15312.71</v>
      </c>
      <c r="G127" s="97">
        <v>74.7</v>
      </c>
      <c r="H127" s="90" t="s">
        <v>13</v>
      </c>
      <c r="L127" s="92">
        <v>-500</v>
      </c>
    </row>
    <row r="128" spans="1:12" x14ac:dyDescent="0.25">
      <c r="A128" s="90" t="s">
        <v>25</v>
      </c>
      <c r="B128" s="90" t="s">
        <v>663</v>
      </c>
      <c r="C128" s="90" t="s">
        <v>664</v>
      </c>
      <c r="D128" s="92">
        <v>3500</v>
      </c>
      <c r="E128" s="92">
        <v>3500</v>
      </c>
      <c r="F128" s="93">
        <v>2685.27</v>
      </c>
      <c r="G128" s="97">
        <v>76.7</v>
      </c>
      <c r="H128" s="90" t="s">
        <v>13</v>
      </c>
      <c r="J128" s="24" t="s">
        <v>152</v>
      </c>
      <c r="L128" s="92">
        <v>0</v>
      </c>
    </row>
    <row r="129" spans="1:12" x14ac:dyDescent="0.25">
      <c r="A129" s="90" t="s">
        <v>25</v>
      </c>
      <c r="B129" s="90" t="s">
        <v>624</v>
      </c>
      <c r="C129" s="90" t="s">
        <v>625</v>
      </c>
      <c r="D129" s="92">
        <v>4500</v>
      </c>
      <c r="E129" s="92">
        <v>4500</v>
      </c>
      <c r="F129" s="93">
        <v>0</v>
      </c>
      <c r="G129" s="97">
        <v>0</v>
      </c>
      <c r="H129" s="90" t="s">
        <v>13</v>
      </c>
      <c r="L129" s="92">
        <v>0</v>
      </c>
    </row>
    <row r="130" spans="1:12" x14ac:dyDescent="0.25">
      <c r="C130" s="91" t="s">
        <v>665</v>
      </c>
      <c r="D130" s="98">
        <f>SUM(D111:D129)</f>
        <v>1007154</v>
      </c>
      <c r="E130" s="98">
        <f t="shared" ref="E130:F130" si="6">SUM(E111:E129)</f>
        <v>1007154</v>
      </c>
      <c r="F130" s="98">
        <f t="shared" si="6"/>
        <v>886113.36</v>
      </c>
      <c r="L130" s="98">
        <f>SUM(L111:L129)</f>
        <v>0</v>
      </c>
    </row>
    <row r="131" spans="1:12" x14ac:dyDescent="0.25">
      <c r="A131" s="90" t="s">
        <v>27</v>
      </c>
      <c r="B131" s="90" t="s">
        <v>592</v>
      </c>
      <c r="C131" s="90" t="s">
        <v>593</v>
      </c>
      <c r="D131" s="92">
        <v>45236</v>
      </c>
      <c r="E131" s="92">
        <v>45236</v>
      </c>
      <c r="F131" s="93">
        <v>43685.61</v>
      </c>
      <c r="G131" s="97">
        <v>96.6</v>
      </c>
      <c r="H131" s="90" t="s">
        <v>13</v>
      </c>
      <c r="L131" s="92">
        <v>0</v>
      </c>
    </row>
    <row r="132" spans="1:12" x14ac:dyDescent="0.25">
      <c r="A132" s="90" t="s">
        <v>27</v>
      </c>
      <c r="B132" s="90" t="s">
        <v>596</v>
      </c>
      <c r="C132" s="90" t="s">
        <v>597</v>
      </c>
      <c r="D132" s="92">
        <v>2800</v>
      </c>
      <c r="E132" s="92">
        <v>2800</v>
      </c>
      <c r="F132" s="93">
        <v>2590.42</v>
      </c>
      <c r="G132" s="97">
        <v>92.5</v>
      </c>
      <c r="H132" s="90" t="s">
        <v>13</v>
      </c>
      <c r="L132" s="92">
        <v>0</v>
      </c>
    </row>
    <row r="133" spans="1:12" x14ac:dyDescent="0.25">
      <c r="A133" s="90" t="s">
        <v>27</v>
      </c>
      <c r="B133" s="90" t="s">
        <v>598</v>
      </c>
      <c r="C133" s="90" t="s">
        <v>599</v>
      </c>
      <c r="D133" s="92">
        <v>700</v>
      </c>
      <c r="E133" s="92">
        <v>700</v>
      </c>
      <c r="F133" s="93">
        <v>605.80999999999995</v>
      </c>
      <c r="G133" s="97">
        <v>86.5</v>
      </c>
      <c r="H133" s="90" t="s">
        <v>13</v>
      </c>
      <c r="L133" s="92">
        <v>0</v>
      </c>
    </row>
    <row r="134" spans="1:12" x14ac:dyDescent="0.25">
      <c r="A134" s="90" t="s">
        <v>27</v>
      </c>
      <c r="B134" s="90" t="s">
        <v>600</v>
      </c>
      <c r="C134" s="90" t="s">
        <v>601</v>
      </c>
      <c r="D134" s="92">
        <v>7600</v>
      </c>
      <c r="E134" s="92">
        <v>7600</v>
      </c>
      <c r="F134" s="93">
        <v>7671.68</v>
      </c>
      <c r="G134" s="97">
        <v>100.9</v>
      </c>
      <c r="H134" s="90" t="s">
        <v>158</v>
      </c>
      <c r="L134" s="92">
        <v>0</v>
      </c>
    </row>
    <row r="135" spans="1:12" x14ac:dyDescent="0.25">
      <c r="A135" s="90" t="s">
        <v>27</v>
      </c>
      <c r="B135" s="90" t="s">
        <v>604</v>
      </c>
      <c r="C135" s="90" t="s">
        <v>605</v>
      </c>
      <c r="D135" s="92">
        <v>500</v>
      </c>
      <c r="E135" s="92">
        <v>500</v>
      </c>
      <c r="F135" s="93">
        <v>0</v>
      </c>
      <c r="G135" s="97">
        <v>0</v>
      </c>
      <c r="H135" s="90" t="s">
        <v>13</v>
      </c>
      <c r="L135" s="92">
        <v>0</v>
      </c>
    </row>
    <row r="136" spans="1:12" x14ac:dyDescent="0.25">
      <c r="A136" s="90" t="s">
        <v>27</v>
      </c>
      <c r="B136" s="90" t="s">
        <v>606</v>
      </c>
      <c r="C136" s="90" t="s">
        <v>607</v>
      </c>
      <c r="D136" s="92">
        <v>500</v>
      </c>
      <c r="E136" s="92">
        <v>500</v>
      </c>
      <c r="F136" s="93">
        <v>0</v>
      </c>
      <c r="G136" s="97">
        <v>0</v>
      </c>
      <c r="H136" s="90" t="s">
        <v>13</v>
      </c>
      <c r="L136" s="92">
        <v>0</v>
      </c>
    </row>
    <row r="137" spans="1:12" x14ac:dyDescent="0.25">
      <c r="A137" s="90" t="s">
        <v>27</v>
      </c>
      <c r="B137" s="90" t="s">
        <v>608</v>
      </c>
      <c r="C137" s="90" t="s">
        <v>609</v>
      </c>
      <c r="D137" s="92">
        <v>300</v>
      </c>
      <c r="E137" s="92">
        <v>300</v>
      </c>
      <c r="F137" s="93">
        <v>181.98</v>
      </c>
      <c r="G137" s="97">
        <v>60.7</v>
      </c>
      <c r="H137" s="90" t="s">
        <v>13</v>
      </c>
      <c r="I137" s="24" t="s">
        <v>152</v>
      </c>
      <c r="L137" s="92">
        <v>0</v>
      </c>
    </row>
    <row r="138" spans="1:12" x14ac:dyDescent="0.25">
      <c r="A138" s="90" t="s">
        <v>27</v>
      </c>
      <c r="B138" s="90" t="s">
        <v>622</v>
      </c>
      <c r="C138" s="90" t="s">
        <v>623</v>
      </c>
      <c r="D138" s="92">
        <v>750</v>
      </c>
      <c r="E138" s="92">
        <v>750</v>
      </c>
      <c r="F138" s="93">
        <v>202.03</v>
      </c>
      <c r="G138" s="97">
        <v>26.9</v>
      </c>
      <c r="H138" s="90" t="s">
        <v>13</v>
      </c>
      <c r="L138" s="92">
        <v>0</v>
      </c>
    </row>
    <row r="139" spans="1:12" x14ac:dyDescent="0.25">
      <c r="C139" s="91" t="s">
        <v>666</v>
      </c>
      <c r="D139" s="98">
        <f>SUM(D131:D138)</f>
        <v>58386</v>
      </c>
      <c r="E139" s="98">
        <f t="shared" ref="E139:F139" si="7">SUM(E131:E138)</f>
        <v>58386</v>
      </c>
      <c r="F139" s="98">
        <f t="shared" si="7"/>
        <v>54937.53</v>
      </c>
      <c r="L139" s="98">
        <f>SUM(L131:L138)</f>
        <v>0</v>
      </c>
    </row>
    <row r="140" spans="1:12" x14ac:dyDescent="0.25">
      <c r="A140" s="90" t="s">
        <v>29</v>
      </c>
      <c r="B140" s="90" t="s">
        <v>592</v>
      </c>
      <c r="C140" s="90" t="s">
        <v>593</v>
      </c>
      <c r="D140" s="92">
        <v>1754550</v>
      </c>
      <c r="E140" s="92">
        <v>1754550</v>
      </c>
      <c r="F140" s="93">
        <v>1673853.71</v>
      </c>
      <c r="G140" s="97">
        <v>95.4</v>
      </c>
      <c r="H140" s="90" t="s">
        <v>13</v>
      </c>
      <c r="L140" s="92">
        <v>0</v>
      </c>
    </row>
    <row r="141" spans="1:12" x14ac:dyDescent="0.25">
      <c r="A141" s="90" t="s">
        <v>29</v>
      </c>
      <c r="B141" s="90" t="s">
        <v>594</v>
      </c>
      <c r="C141" s="90" t="s">
        <v>595</v>
      </c>
      <c r="D141" s="92">
        <v>20000</v>
      </c>
      <c r="E141" s="92">
        <v>20000</v>
      </c>
      <c r="F141" s="93">
        <v>16358.48</v>
      </c>
      <c r="G141" s="97">
        <v>81.8</v>
      </c>
      <c r="H141" s="90" t="s">
        <v>13</v>
      </c>
      <c r="L141" s="92">
        <v>0</v>
      </c>
    </row>
    <row r="142" spans="1:12" x14ac:dyDescent="0.25">
      <c r="A142" s="90" t="s">
        <v>29</v>
      </c>
      <c r="B142" s="90" t="s">
        <v>596</v>
      </c>
      <c r="C142" s="90" t="s">
        <v>597</v>
      </c>
      <c r="D142" s="92">
        <v>110022</v>
      </c>
      <c r="E142" s="92">
        <v>110022</v>
      </c>
      <c r="F142" s="93">
        <v>101509.03</v>
      </c>
      <c r="G142" s="97">
        <v>92.3</v>
      </c>
      <c r="H142" s="90" t="s">
        <v>13</v>
      </c>
      <c r="L142" s="92">
        <v>0</v>
      </c>
    </row>
    <row r="143" spans="1:12" x14ac:dyDescent="0.25">
      <c r="A143" s="90" t="s">
        <v>29</v>
      </c>
      <c r="B143" s="90" t="s">
        <v>598</v>
      </c>
      <c r="C143" s="90" t="s">
        <v>599</v>
      </c>
      <c r="D143" s="92">
        <v>25731</v>
      </c>
      <c r="E143" s="92">
        <v>25731</v>
      </c>
      <c r="F143" s="93">
        <v>23739.94</v>
      </c>
      <c r="G143" s="97">
        <v>92.3</v>
      </c>
      <c r="H143" s="90" t="s">
        <v>13</v>
      </c>
      <c r="L143" s="92">
        <v>0</v>
      </c>
    </row>
    <row r="144" spans="1:12" x14ac:dyDescent="0.25">
      <c r="A144" s="90" t="s">
        <v>29</v>
      </c>
      <c r="B144" s="90" t="s">
        <v>600</v>
      </c>
      <c r="C144" s="90" t="s">
        <v>601</v>
      </c>
      <c r="D144" s="92">
        <v>157142</v>
      </c>
      <c r="E144" s="92">
        <v>157142</v>
      </c>
      <c r="F144" s="93">
        <v>121816.07</v>
      </c>
      <c r="G144" s="97">
        <v>77.5</v>
      </c>
      <c r="H144" s="90" t="s">
        <v>13</v>
      </c>
      <c r="L144" s="92">
        <v>0</v>
      </c>
    </row>
    <row r="145" spans="1:12" x14ac:dyDescent="0.25">
      <c r="A145" s="90" t="s">
        <v>29</v>
      </c>
      <c r="B145" s="90" t="s">
        <v>602</v>
      </c>
      <c r="C145" s="90" t="s">
        <v>603</v>
      </c>
      <c r="D145" s="92">
        <v>182944</v>
      </c>
      <c r="E145" s="92">
        <v>182944</v>
      </c>
      <c r="F145" s="93">
        <v>199724.92</v>
      </c>
      <c r="G145" s="97">
        <v>109.2</v>
      </c>
      <c r="H145" s="90" t="s">
        <v>158</v>
      </c>
      <c r="L145" s="92">
        <v>0</v>
      </c>
    </row>
    <row r="146" spans="1:12" x14ac:dyDescent="0.25">
      <c r="A146" s="90" t="s">
        <v>29</v>
      </c>
      <c r="B146" s="90" t="s">
        <v>606</v>
      </c>
      <c r="C146" s="90" t="s">
        <v>607</v>
      </c>
      <c r="D146" s="92">
        <v>10000</v>
      </c>
      <c r="E146" s="92">
        <v>5000</v>
      </c>
      <c r="F146" s="93">
        <v>3481.34</v>
      </c>
      <c r="G146" s="97">
        <v>69.599999999999994</v>
      </c>
      <c r="H146" s="90" t="s">
        <v>13</v>
      </c>
      <c r="L146" s="92">
        <v>-5000</v>
      </c>
    </row>
    <row r="147" spans="1:12" x14ac:dyDescent="0.25">
      <c r="A147" s="90" t="s">
        <v>29</v>
      </c>
      <c r="B147" s="90" t="s">
        <v>608</v>
      </c>
      <c r="C147" s="90" t="s">
        <v>609</v>
      </c>
      <c r="D147" s="92">
        <v>30000</v>
      </c>
      <c r="E147" s="92">
        <v>30000</v>
      </c>
      <c r="F147" s="93">
        <v>18536.47</v>
      </c>
      <c r="G147" s="97">
        <v>61.8</v>
      </c>
      <c r="H147" s="90" t="s">
        <v>13</v>
      </c>
      <c r="L147" s="92">
        <v>0</v>
      </c>
    </row>
    <row r="148" spans="1:12" x14ac:dyDescent="0.25">
      <c r="A148" s="90" t="s">
        <v>29</v>
      </c>
      <c r="B148" s="90" t="s">
        <v>634</v>
      </c>
      <c r="C148" s="90" t="s">
        <v>635</v>
      </c>
      <c r="D148" s="92">
        <v>46000</v>
      </c>
      <c r="E148" s="92">
        <v>46000</v>
      </c>
      <c r="F148" s="93">
        <v>43700</v>
      </c>
      <c r="G148" s="97">
        <v>95</v>
      </c>
      <c r="H148" s="90" t="s">
        <v>13</v>
      </c>
      <c r="L148" s="92">
        <v>0</v>
      </c>
    </row>
    <row r="149" spans="1:12" x14ac:dyDescent="0.25">
      <c r="A149" s="90" t="s">
        <v>29</v>
      </c>
      <c r="B149" s="90" t="s">
        <v>636</v>
      </c>
      <c r="C149" s="90" t="s">
        <v>637</v>
      </c>
      <c r="D149" s="92">
        <v>1000</v>
      </c>
      <c r="E149" s="92">
        <v>1000</v>
      </c>
      <c r="F149" s="93">
        <v>0</v>
      </c>
      <c r="G149" s="97">
        <v>0</v>
      </c>
      <c r="H149" s="90" t="s">
        <v>13</v>
      </c>
      <c r="L149" s="92">
        <v>0</v>
      </c>
    </row>
    <row r="150" spans="1:12" x14ac:dyDescent="0.25">
      <c r="A150" s="90" t="s">
        <v>29</v>
      </c>
      <c r="B150" s="90" t="s">
        <v>610</v>
      </c>
      <c r="C150" s="90" t="s">
        <v>611</v>
      </c>
      <c r="D150" s="92">
        <v>25000</v>
      </c>
      <c r="E150" s="92">
        <v>17700</v>
      </c>
      <c r="F150" s="93">
        <v>15243.76</v>
      </c>
      <c r="G150" s="97">
        <v>86.1</v>
      </c>
      <c r="H150" s="90" t="s">
        <v>13</v>
      </c>
      <c r="I150" s="24" t="s">
        <v>152</v>
      </c>
      <c r="L150" s="92">
        <v>-7300</v>
      </c>
    </row>
    <row r="151" spans="1:12" x14ac:dyDescent="0.25">
      <c r="A151" s="90" t="s">
        <v>29</v>
      </c>
      <c r="B151" s="90" t="s">
        <v>616</v>
      </c>
      <c r="C151" s="90" t="s">
        <v>617</v>
      </c>
      <c r="D151" s="92">
        <v>10000</v>
      </c>
      <c r="E151" s="92">
        <v>22000</v>
      </c>
      <c r="F151" s="93">
        <v>20497.37</v>
      </c>
      <c r="G151" s="97">
        <v>93.2</v>
      </c>
      <c r="H151" s="90" t="s">
        <v>13</v>
      </c>
      <c r="L151" s="92">
        <v>12000</v>
      </c>
    </row>
    <row r="152" spans="1:12" x14ac:dyDescent="0.25">
      <c r="A152" s="90" t="s">
        <v>29</v>
      </c>
      <c r="B152" s="90" t="s">
        <v>618</v>
      </c>
      <c r="C152" s="90" t="s">
        <v>619</v>
      </c>
      <c r="D152" s="92">
        <v>20000</v>
      </c>
      <c r="E152" s="92">
        <v>20000</v>
      </c>
      <c r="F152" s="93">
        <v>16981.97</v>
      </c>
      <c r="G152" s="97">
        <v>84.9</v>
      </c>
      <c r="H152" s="90" t="s">
        <v>13</v>
      </c>
      <c r="L152" s="92">
        <v>0</v>
      </c>
    </row>
    <row r="153" spans="1:12" x14ac:dyDescent="0.25">
      <c r="A153" s="90" t="s">
        <v>29</v>
      </c>
      <c r="B153" s="90" t="s">
        <v>651</v>
      </c>
      <c r="C153" s="90" t="s">
        <v>652</v>
      </c>
      <c r="D153" s="92">
        <v>25000</v>
      </c>
      <c r="E153" s="92">
        <v>25000</v>
      </c>
      <c r="F153" s="93">
        <v>12224.12</v>
      </c>
      <c r="G153" s="97">
        <v>48.9</v>
      </c>
      <c r="H153" s="90" t="s">
        <v>13</v>
      </c>
      <c r="L153" s="92">
        <v>0</v>
      </c>
    </row>
    <row r="154" spans="1:12" x14ac:dyDescent="0.25">
      <c r="A154" s="90" t="s">
        <v>29</v>
      </c>
      <c r="B154" s="90" t="s">
        <v>622</v>
      </c>
      <c r="C154" s="90" t="s">
        <v>623</v>
      </c>
      <c r="D154" s="92">
        <v>50500</v>
      </c>
      <c r="E154" s="92">
        <v>47167</v>
      </c>
      <c r="F154" s="93">
        <v>45385.91</v>
      </c>
      <c r="G154" s="97">
        <v>96.2</v>
      </c>
      <c r="H154" s="90" t="s">
        <v>13</v>
      </c>
      <c r="L154" s="92">
        <v>-3333</v>
      </c>
    </row>
    <row r="155" spans="1:12" x14ac:dyDescent="0.25">
      <c r="A155" s="90" t="s">
        <v>29</v>
      </c>
      <c r="B155" s="90" t="s">
        <v>667</v>
      </c>
      <c r="C155" s="90" t="s">
        <v>668</v>
      </c>
      <c r="D155" s="92">
        <v>0</v>
      </c>
      <c r="E155" s="92">
        <v>2911</v>
      </c>
      <c r="F155" s="93">
        <v>2817.61</v>
      </c>
      <c r="G155" s="97">
        <v>96.8</v>
      </c>
      <c r="H155" s="90" t="s">
        <v>13</v>
      </c>
      <c r="L155" s="92">
        <v>2911</v>
      </c>
    </row>
    <row r="156" spans="1:12" x14ac:dyDescent="0.25">
      <c r="A156" s="90" t="s">
        <v>29</v>
      </c>
      <c r="B156" s="90" t="s">
        <v>644</v>
      </c>
      <c r="C156" s="90" t="s">
        <v>645</v>
      </c>
      <c r="D156" s="92">
        <v>0</v>
      </c>
      <c r="E156" s="92">
        <v>3033</v>
      </c>
      <c r="F156" s="93">
        <v>2732.53</v>
      </c>
      <c r="G156" s="97">
        <v>90.1</v>
      </c>
      <c r="H156" s="90" t="s">
        <v>13</v>
      </c>
      <c r="L156" s="92">
        <v>3033</v>
      </c>
    </row>
    <row r="157" spans="1:12" x14ac:dyDescent="0.25">
      <c r="A157" s="90" t="s">
        <v>29</v>
      </c>
      <c r="B157" s="90" t="s">
        <v>624</v>
      </c>
      <c r="C157" s="90" t="s">
        <v>625</v>
      </c>
      <c r="D157" s="92">
        <v>11000</v>
      </c>
      <c r="E157" s="92">
        <v>8689</v>
      </c>
      <c r="F157" s="93">
        <v>8688.76</v>
      </c>
      <c r="G157" s="97">
        <v>100</v>
      </c>
      <c r="H157" s="90" t="s">
        <v>13</v>
      </c>
      <c r="L157" s="92">
        <v>-2311</v>
      </c>
    </row>
    <row r="158" spans="1:12" x14ac:dyDescent="0.25">
      <c r="C158" s="91" t="s">
        <v>669</v>
      </c>
      <c r="D158" s="98">
        <f>SUM(D140:D157)</f>
        <v>2478889</v>
      </c>
      <c r="E158" s="98">
        <f t="shared" ref="E158:F158" si="8">SUM(E140:E157)</f>
        <v>2478889</v>
      </c>
      <c r="F158" s="98">
        <f t="shared" si="8"/>
        <v>2327291.9899999998</v>
      </c>
      <c r="L158" s="98">
        <f>SUM(L140:L157)</f>
        <v>0</v>
      </c>
    </row>
    <row r="159" spans="1:12" x14ac:dyDescent="0.25">
      <c r="A159" s="90" t="s">
        <v>31</v>
      </c>
      <c r="B159" s="90" t="s">
        <v>592</v>
      </c>
      <c r="C159" s="90" t="s">
        <v>593</v>
      </c>
      <c r="D159" s="92">
        <v>320115</v>
      </c>
      <c r="E159" s="92">
        <v>320115</v>
      </c>
      <c r="F159" s="93">
        <v>316236.96000000002</v>
      </c>
      <c r="G159" s="97">
        <v>98.8</v>
      </c>
      <c r="H159" s="90" t="s">
        <v>13</v>
      </c>
      <c r="L159" s="92">
        <v>0</v>
      </c>
    </row>
    <row r="160" spans="1:12" x14ac:dyDescent="0.25">
      <c r="A160" s="90" t="s">
        <v>31</v>
      </c>
      <c r="B160" s="90" t="s">
        <v>596</v>
      </c>
      <c r="C160" s="90" t="s">
        <v>597</v>
      </c>
      <c r="D160" s="92">
        <v>19847</v>
      </c>
      <c r="E160" s="92">
        <v>19847</v>
      </c>
      <c r="F160" s="93">
        <v>16527.900000000001</v>
      </c>
      <c r="G160" s="97">
        <v>83.3</v>
      </c>
      <c r="H160" s="90" t="s">
        <v>13</v>
      </c>
      <c r="L160" s="92">
        <v>0</v>
      </c>
    </row>
    <row r="161" spans="1:12" x14ac:dyDescent="0.25">
      <c r="A161" s="90" t="s">
        <v>31</v>
      </c>
      <c r="B161" s="90" t="s">
        <v>598</v>
      </c>
      <c r="C161" s="90" t="s">
        <v>599</v>
      </c>
      <c r="D161" s="92">
        <v>4642</v>
      </c>
      <c r="E161" s="92">
        <v>4642</v>
      </c>
      <c r="F161" s="93">
        <v>4396.8599999999997</v>
      </c>
      <c r="G161" s="97">
        <v>94.7</v>
      </c>
      <c r="H161" s="90" t="s">
        <v>13</v>
      </c>
      <c r="J161" s="24" t="s">
        <v>152</v>
      </c>
      <c r="L161" s="92">
        <v>0</v>
      </c>
    </row>
    <row r="162" spans="1:12" x14ac:dyDescent="0.25">
      <c r="A162" s="90" t="s">
        <v>31</v>
      </c>
      <c r="B162" s="90" t="s">
        <v>600</v>
      </c>
      <c r="C162" s="90" t="s">
        <v>601</v>
      </c>
      <c r="D162" s="92">
        <v>53011</v>
      </c>
      <c r="E162" s="92">
        <v>53011</v>
      </c>
      <c r="F162" s="93">
        <v>55535.74</v>
      </c>
      <c r="G162" s="97">
        <v>104.8</v>
      </c>
      <c r="H162" s="90" t="s">
        <v>158</v>
      </c>
      <c r="L162" s="92">
        <v>0</v>
      </c>
    </row>
    <row r="163" spans="1:12" x14ac:dyDescent="0.25">
      <c r="A163" s="90" t="s">
        <v>31</v>
      </c>
      <c r="B163" s="90" t="s">
        <v>608</v>
      </c>
      <c r="C163" s="90" t="s">
        <v>609</v>
      </c>
      <c r="D163" s="92">
        <v>1000</v>
      </c>
      <c r="E163" s="92">
        <v>1000</v>
      </c>
      <c r="F163" s="93">
        <v>252.66</v>
      </c>
      <c r="G163" s="97">
        <v>25.3</v>
      </c>
      <c r="H163" s="90" t="s">
        <v>13</v>
      </c>
      <c r="L163" s="92">
        <v>0</v>
      </c>
    </row>
    <row r="164" spans="1:12" x14ac:dyDescent="0.25">
      <c r="A164" s="90" t="s">
        <v>31</v>
      </c>
      <c r="B164" s="90" t="s">
        <v>610</v>
      </c>
      <c r="C164" s="90" t="s">
        <v>611</v>
      </c>
      <c r="D164" s="92">
        <v>750</v>
      </c>
      <c r="E164" s="92">
        <v>750</v>
      </c>
      <c r="F164" s="93">
        <v>0</v>
      </c>
      <c r="G164" s="97">
        <v>0</v>
      </c>
      <c r="H164" s="90" t="s">
        <v>13</v>
      </c>
      <c r="L164" s="92">
        <v>0</v>
      </c>
    </row>
    <row r="165" spans="1:12" x14ac:dyDescent="0.25">
      <c r="A165" s="90" t="s">
        <v>31</v>
      </c>
      <c r="B165" s="90" t="s">
        <v>616</v>
      </c>
      <c r="C165" s="90" t="s">
        <v>617</v>
      </c>
      <c r="D165" s="92">
        <v>700</v>
      </c>
      <c r="E165" s="92">
        <v>700</v>
      </c>
      <c r="F165" s="93">
        <v>408</v>
      </c>
      <c r="G165" s="97">
        <v>58.3</v>
      </c>
      <c r="H165" s="90" t="s">
        <v>13</v>
      </c>
      <c r="L165" s="92">
        <v>0</v>
      </c>
    </row>
    <row r="166" spans="1:12" x14ac:dyDescent="0.25">
      <c r="A166" s="90" t="s">
        <v>31</v>
      </c>
      <c r="B166" s="90" t="s">
        <v>618</v>
      </c>
      <c r="C166" s="90" t="s">
        <v>619</v>
      </c>
      <c r="D166" s="92">
        <v>850</v>
      </c>
      <c r="E166" s="92">
        <v>850</v>
      </c>
      <c r="F166" s="93">
        <v>409.86</v>
      </c>
      <c r="G166" s="97">
        <v>48.2</v>
      </c>
      <c r="H166" s="90" t="s">
        <v>13</v>
      </c>
      <c r="J166" s="24" t="s">
        <v>152</v>
      </c>
      <c r="L166" s="92">
        <v>0</v>
      </c>
    </row>
    <row r="167" spans="1:12" x14ac:dyDescent="0.25">
      <c r="A167" s="90" t="s">
        <v>31</v>
      </c>
      <c r="B167" s="90" t="s">
        <v>622</v>
      </c>
      <c r="C167" s="90" t="s">
        <v>623</v>
      </c>
      <c r="D167" s="92">
        <v>2500</v>
      </c>
      <c r="E167" s="92">
        <v>2500</v>
      </c>
      <c r="F167" s="93">
        <v>1985.19</v>
      </c>
      <c r="G167" s="97">
        <v>79.400000000000006</v>
      </c>
      <c r="H167" s="90" t="s">
        <v>13</v>
      </c>
      <c r="L167" s="92">
        <v>0</v>
      </c>
    </row>
    <row r="168" spans="1:12" x14ac:dyDescent="0.25">
      <c r="A168" s="90" t="s">
        <v>31</v>
      </c>
      <c r="B168" s="90" t="s">
        <v>624</v>
      </c>
      <c r="C168" s="90" t="s">
        <v>625</v>
      </c>
      <c r="D168" s="92">
        <v>13500</v>
      </c>
      <c r="E168" s="92">
        <v>13500</v>
      </c>
      <c r="F168" s="93">
        <v>0</v>
      </c>
      <c r="G168" s="97">
        <v>0</v>
      </c>
      <c r="H168" s="90" t="s">
        <v>13</v>
      </c>
      <c r="L168" s="92">
        <v>0</v>
      </c>
    </row>
    <row r="169" spans="1:12" x14ac:dyDescent="0.25">
      <c r="C169" s="91" t="s">
        <v>670</v>
      </c>
      <c r="D169" s="98">
        <f>SUM(D159:D168)</f>
        <v>416915</v>
      </c>
      <c r="E169" s="98">
        <f t="shared" ref="E169:F169" si="9">SUM(E159:E168)</f>
        <v>416915</v>
      </c>
      <c r="F169" s="98">
        <f t="shared" si="9"/>
        <v>395753.17</v>
      </c>
    </row>
    <row r="170" spans="1:12" x14ac:dyDescent="0.25">
      <c r="A170" s="90" t="s">
        <v>33</v>
      </c>
      <c r="B170" s="90" t="s">
        <v>671</v>
      </c>
      <c r="C170" s="90" t="s">
        <v>672</v>
      </c>
      <c r="D170" s="92">
        <v>1700450</v>
      </c>
      <c r="E170" s="92">
        <v>1700450</v>
      </c>
      <c r="F170" s="93">
        <v>1700450</v>
      </c>
      <c r="G170" s="97">
        <v>100</v>
      </c>
      <c r="H170" s="90" t="s">
        <v>13</v>
      </c>
      <c r="L170" s="92">
        <v>0</v>
      </c>
    </row>
    <row r="171" spans="1:12" x14ac:dyDescent="0.25">
      <c r="C171" s="91" t="s">
        <v>673</v>
      </c>
      <c r="D171" s="98">
        <f>SUM(D170)</f>
        <v>1700450</v>
      </c>
      <c r="E171" s="98">
        <f t="shared" ref="E171:F171" si="10">SUM(E170)</f>
        <v>1700450</v>
      </c>
      <c r="F171" s="98">
        <f t="shared" si="10"/>
        <v>1700450</v>
      </c>
      <c r="G171" s="92"/>
      <c r="L171" s="98">
        <f>SUM(L159:L170)</f>
        <v>0</v>
      </c>
    </row>
    <row r="172" spans="1:12" x14ac:dyDescent="0.25">
      <c r="A172" s="90" t="s">
        <v>35</v>
      </c>
      <c r="B172" s="90" t="s">
        <v>592</v>
      </c>
      <c r="C172" s="90" t="s">
        <v>593</v>
      </c>
      <c r="D172" s="92">
        <v>1384128</v>
      </c>
      <c r="E172" s="92">
        <v>1384128</v>
      </c>
      <c r="F172" s="93">
        <v>1483582.37</v>
      </c>
      <c r="G172" s="97">
        <v>107.2</v>
      </c>
      <c r="H172" s="90" t="s">
        <v>158</v>
      </c>
      <c r="L172" s="92">
        <v>0</v>
      </c>
    </row>
    <row r="173" spans="1:12" x14ac:dyDescent="0.25">
      <c r="A173" s="90" t="s">
        <v>35</v>
      </c>
      <c r="B173" s="90" t="s">
        <v>594</v>
      </c>
      <c r="C173" s="90" t="s">
        <v>595</v>
      </c>
      <c r="D173" s="92">
        <v>0</v>
      </c>
      <c r="E173" s="92">
        <v>40</v>
      </c>
      <c r="F173" s="93">
        <v>37.799999999999997</v>
      </c>
      <c r="G173" s="97">
        <v>94.5</v>
      </c>
      <c r="H173" s="90" t="s">
        <v>13</v>
      </c>
      <c r="L173" s="92">
        <v>40</v>
      </c>
    </row>
    <row r="174" spans="1:12" x14ac:dyDescent="0.25">
      <c r="A174" s="90" t="s">
        <v>35</v>
      </c>
      <c r="B174" s="90" t="s">
        <v>596</v>
      </c>
      <c r="C174" s="90" t="s">
        <v>597</v>
      </c>
      <c r="D174" s="92">
        <v>85816</v>
      </c>
      <c r="E174" s="92">
        <v>85816</v>
      </c>
      <c r="F174" s="93">
        <v>83843.37</v>
      </c>
      <c r="G174" s="97">
        <v>97.7</v>
      </c>
      <c r="H174" s="90" t="s">
        <v>13</v>
      </c>
      <c r="L174" s="92">
        <v>0</v>
      </c>
    </row>
    <row r="175" spans="1:12" x14ac:dyDescent="0.25">
      <c r="A175" s="90" t="s">
        <v>35</v>
      </c>
      <c r="B175" s="90" t="s">
        <v>598</v>
      </c>
      <c r="C175" s="90" t="s">
        <v>599</v>
      </c>
      <c r="D175" s="92">
        <v>20070</v>
      </c>
      <c r="E175" s="92">
        <v>20070</v>
      </c>
      <c r="F175" s="93">
        <v>21099.45</v>
      </c>
      <c r="G175" s="97">
        <v>105.1</v>
      </c>
      <c r="H175" s="90" t="s">
        <v>158</v>
      </c>
      <c r="L175" s="92">
        <v>0</v>
      </c>
    </row>
    <row r="176" spans="1:12" x14ac:dyDescent="0.25">
      <c r="A176" s="90" t="s">
        <v>35</v>
      </c>
      <c r="B176" s="90" t="s">
        <v>600</v>
      </c>
      <c r="C176" s="90" t="s">
        <v>601</v>
      </c>
      <c r="D176" s="92">
        <v>203656</v>
      </c>
      <c r="E176" s="92">
        <v>203656</v>
      </c>
      <c r="F176" s="93">
        <v>217952.14</v>
      </c>
      <c r="G176" s="97">
        <v>107</v>
      </c>
      <c r="H176" s="90" t="s">
        <v>158</v>
      </c>
      <c r="L176" s="92">
        <v>0</v>
      </c>
    </row>
    <row r="177" spans="1:15" x14ac:dyDescent="0.25">
      <c r="A177" s="90" t="s">
        <v>35</v>
      </c>
      <c r="B177" s="90" t="s">
        <v>602</v>
      </c>
      <c r="C177" s="90" t="s">
        <v>603</v>
      </c>
      <c r="D177" s="92">
        <v>29692</v>
      </c>
      <c r="E177" s="92">
        <v>29692</v>
      </c>
      <c r="F177" s="93">
        <v>47160.67</v>
      </c>
      <c r="G177" s="97">
        <v>158.80000000000001</v>
      </c>
      <c r="H177" s="90" t="s">
        <v>158</v>
      </c>
      <c r="L177" s="92">
        <v>0</v>
      </c>
    </row>
    <row r="178" spans="1:15" x14ac:dyDescent="0.25">
      <c r="A178" s="90" t="s">
        <v>35</v>
      </c>
      <c r="B178" s="90" t="s">
        <v>606</v>
      </c>
      <c r="C178" s="90" t="s">
        <v>607</v>
      </c>
      <c r="D178" s="92">
        <v>1500</v>
      </c>
      <c r="E178" s="92">
        <v>1500</v>
      </c>
      <c r="F178" s="93">
        <v>348.74</v>
      </c>
      <c r="G178" s="97">
        <v>23.2</v>
      </c>
      <c r="H178" s="90" t="s">
        <v>13</v>
      </c>
      <c r="L178" s="92">
        <v>0</v>
      </c>
      <c r="O178" s="24" t="s">
        <v>152</v>
      </c>
    </row>
    <row r="179" spans="1:15" x14ac:dyDescent="0.25">
      <c r="A179" s="90" t="s">
        <v>35</v>
      </c>
      <c r="B179" s="90" t="s">
        <v>608</v>
      </c>
      <c r="C179" s="90" t="s">
        <v>609</v>
      </c>
      <c r="D179" s="92">
        <v>500</v>
      </c>
      <c r="E179" s="92">
        <v>460</v>
      </c>
      <c r="F179" s="93">
        <v>55.54</v>
      </c>
      <c r="G179" s="97">
        <v>12.1</v>
      </c>
      <c r="H179" s="90" t="s">
        <v>13</v>
      </c>
      <c r="L179" s="92">
        <v>-40</v>
      </c>
    </row>
    <row r="180" spans="1:15" x14ac:dyDescent="0.25">
      <c r="A180" s="90" t="s">
        <v>35</v>
      </c>
      <c r="B180" s="90" t="s">
        <v>674</v>
      </c>
      <c r="C180" s="90" t="s">
        <v>675</v>
      </c>
      <c r="D180" s="92">
        <v>3520</v>
      </c>
      <c r="E180" s="92">
        <v>1870</v>
      </c>
      <c r="F180" s="93">
        <v>312</v>
      </c>
      <c r="G180" s="97">
        <v>16.7</v>
      </c>
      <c r="H180" s="90" t="s">
        <v>13</v>
      </c>
      <c r="L180" s="92">
        <v>-1650</v>
      </c>
    </row>
    <row r="181" spans="1:15" x14ac:dyDescent="0.25">
      <c r="A181" s="90" t="s">
        <v>35</v>
      </c>
      <c r="B181" s="90" t="s">
        <v>634</v>
      </c>
      <c r="C181" s="90" t="s">
        <v>635</v>
      </c>
      <c r="D181" s="92">
        <v>15000</v>
      </c>
      <c r="E181" s="92">
        <v>0</v>
      </c>
      <c r="F181" s="93">
        <v>0</v>
      </c>
      <c r="G181" s="97">
        <v>0</v>
      </c>
      <c r="H181" s="90" t="s">
        <v>13</v>
      </c>
      <c r="L181" s="92">
        <v>-15000</v>
      </c>
    </row>
    <row r="182" spans="1:15" x14ac:dyDescent="0.25">
      <c r="A182" s="90" t="s">
        <v>35</v>
      </c>
      <c r="B182" s="90" t="s">
        <v>610</v>
      </c>
      <c r="C182" s="90" t="s">
        <v>611</v>
      </c>
      <c r="D182" s="92">
        <v>720</v>
      </c>
      <c r="E182" s="92">
        <v>720</v>
      </c>
      <c r="F182" s="93">
        <v>630</v>
      </c>
      <c r="G182" s="97">
        <v>87.5</v>
      </c>
      <c r="H182" s="90" t="s">
        <v>13</v>
      </c>
      <c r="L182" s="92">
        <v>0</v>
      </c>
    </row>
    <row r="183" spans="1:15" x14ac:dyDescent="0.25">
      <c r="A183" s="90" t="s">
        <v>35</v>
      </c>
      <c r="B183" s="90" t="s">
        <v>612</v>
      </c>
      <c r="C183" s="90" t="s">
        <v>613</v>
      </c>
      <c r="D183" s="92">
        <v>77000</v>
      </c>
      <c r="E183" s="92">
        <v>77000</v>
      </c>
      <c r="F183" s="93">
        <v>62959.08</v>
      </c>
      <c r="G183" s="97">
        <v>81.8</v>
      </c>
      <c r="H183" s="90" t="s">
        <v>13</v>
      </c>
      <c r="L183" s="92">
        <v>0</v>
      </c>
    </row>
    <row r="184" spans="1:15" x14ac:dyDescent="0.25">
      <c r="A184" s="90" t="s">
        <v>35</v>
      </c>
      <c r="B184" s="90" t="s">
        <v>616</v>
      </c>
      <c r="C184" s="90" t="s">
        <v>617</v>
      </c>
      <c r="D184" s="92">
        <v>11035</v>
      </c>
      <c r="E184" s="92">
        <v>11035</v>
      </c>
      <c r="F184" s="93">
        <v>9942.61</v>
      </c>
      <c r="G184" s="97">
        <v>90.1</v>
      </c>
      <c r="H184" s="90" t="s">
        <v>13</v>
      </c>
      <c r="L184" s="92">
        <v>0</v>
      </c>
    </row>
    <row r="185" spans="1:15" x14ac:dyDescent="0.25">
      <c r="A185" s="90" t="s">
        <v>35</v>
      </c>
      <c r="B185" s="90" t="s">
        <v>618</v>
      </c>
      <c r="C185" s="90" t="s">
        <v>619</v>
      </c>
      <c r="D185" s="92">
        <v>33317</v>
      </c>
      <c r="E185" s="92">
        <v>40817</v>
      </c>
      <c r="F185" s="93">
        <v>39245.050000000003</v>
      </c>
      <c r="G185" s="97">
        <v>96.1</v>
      </c>
      <c r="H185" s="90" t="s">
        <v>13</v>
      </c>
      <c r="L185" s="92">
        <v>7500</v>
      </c>
    </row>
    <row r="186" spans="1:15" x14ac:dyDescent="0.25">
      <c r="A186" s="90" t="s">
        <v>35</v>
      </c>
      <c r="B186" s="90" t="s">
        <v>620</v>
      </c>
      <c r="C186" s="90" t="s">
        <v>621</v>
      </c>
      <c r="D186" s="92">
        <v>2000</v>
      </c>
      <c r="E186" s="92">
        <v>2000</v>
      </c>
      <c r="F186" s="93">
        <v>88.19</v>
      </c>
      <c r="G186" s="97">
        <v>4.4000000000000004</v>
      </c>
      <c r="H186" s="90" t="s">
        <v>13</v>
      </c>
      <c r="L186" s="92">
        <v>0</v>
      </c>
    </row>
    <row r="187" spans="1:15" x14ac:dyDescent="0.25">
      <c r="A187" s="90" t="s">
        <v>35</v>
      </c>
      <c r="B187" s="90" t="s">
        <v>642</v>
      </c>
      <c r="C187" s="90" t="s">
        <v>643</v>
      </c>
      <c r="D187" s="92">
        <v>0</v>
      </c>
      <c r="E187" s="92">
        <v>650</v>
      </c>
      <c r="F187" s="93">
        <v>649.98</v>
      </c>
      <c r="G187" s="97">
        <v>100</v>
      </c>
      <c r="H187" s="90" t="s">
        <v>13</v>
      </c>
      <c r="L187" s="92">
        <v>650</v>
      </c>
    </row>
    <row r="188" spans="1:15" x14ac:dyDescent="0.25">
      <c r="A188" s="90" t="s">
        <v>35</v>
      </c>
      <c r="B188" s="90" t="s">
        <v>622</v>
      </c>
      <c r="C188" s="90" t="s">
        <v>623</v>
      </c>
      <c r="D188" s="92">
        <v>7500</v>
      </c>
      <c r="E188" s="92">
        <v>8500</v>
      </c>
      <c r="F188" s="93">
        <v>7294.89</v>
      </c>
      <c r="G188" s="97">
        <v>85.8</v>
      </c>
      <c r="H188" s="90" t="s">
        <v>13</v>
      </c>
      <c r="L188" s="92">
        <v>1000</v>
      </c>
    </row>
    <row r="189" spans="1:15" x14ac:dyDescent="0.25">
      <c r="A189" s="90" t="s">
        <v>35</v>
      </c>
      <c r="B189" s="90" t="s">
        <v>624</v>
      </c>
      <c r="C189" s="90" t="s">
        <v>676</v>
      </c>
      <c r="D189" s="92">
        <v>2600</v>
      </c>
      <c r="E189" s="92">
        <v>2600</v>
      </c>
      <c r="F189" s="93">
        <v>1114.04</v>
      </c>
      <c r="G189" s="97">
        <v>42.8</v>
      </c>
      <c r="H189" s="90" t="s">
        <v>13</v>
      </c>
      <c r="L189" s="92">
        <v>0</v>
      </c>
    </row>
    <row r="190" spans="1:15" x14ac:dyDescent="0.25">
      <c r="A190" s="90" t="s">
        <v>35</v>
      </c>
      <c r="B190" s="90" t="s">
        <v>628</v>
      </c>
      <c r="C190" s="90" t="s">
        <v>629</v>
      </c>
      <c r="D190" s="92">
        <v>100000</v>
      </c>
      <c r="E190" s="92">
        <v>131257</v>
      </c>
      <c r="F190" s="93">
        <v>115541.72</v>
      </c>
      <c r="G190" s="97">
        <v>88</v>
      </c>
      <c r="H190" s="90" t="s">
        <v>13</v>
      </c>
      <c r="L190" s="92">
        <v>31257</v>
      </c>
    </row>
    <row r="191" spans="1:15" x14ac:dyDescent="0.25">
      <c r="C191" s="91" t="s">
        <v>677</v>
      </c>
      <c r="D191" s="98">
        <f>SUM(D172:D190)</f>
        <v>1978054</v>
      </c>
      <c r="E191" s="98">
        <f t="shared" ref="E191:F191" si="11">SUM(E172:E190)</f>
        <v>2001811</v>
      </c>
      <c r="F191" s="98">
        <f t="shared" si="11"/>
        <v>2091857.64</v>
      </c>
      <c r="G191" s="98"/>
    </row>
    <row r="192" spans="1:15" x14ac:dyDescent="0.25">
      <c r="A192" s="90" t="s">
        <v>37</v>
      </c>
      <c r="B192" s="90" t="s">
        <v>592</v>
      </c>
      <c r="C192" s="90" t="s">
        <v>593</v>
      </c>
      <c r="D192" s="92">
        <v>262888</v>
      </c>
      <c r="E192" s="92">
        <v>262888</v>
      </c>
      <c r="F192" s="93">
        <v>232127.88</v>
      </c>
      <c r="G192" s="97">
        <v>88.3</v>
      </c>
      <c r="H192" s="90" t="s">
        <v>13</v>
      </c>
      <c r="L192" s="92">
        <v>0</v>
      </c>
    </row>
    <row r="193" spans="1:12" x14ac:dyDescent="0.25">
      <c r="A193" s="90" t="s">
        <v>37</v>
      </c>
      <c r="B193" s="90" t="s">
        <v>594</v>
      </c>
      <c r="C193" s="90" t="s">
        <v>595</v>
      </c>
      <c r="D193" s="92">
        <v>0</v>
      </c>
      <c r="E193" s="92">
        <v>0</v>
      </c>
      <c r="F193" s="93">
        <v>361.97</v>
      </c>
      <c r="G193" s="97">
        <v>100</v>
      </c>
      <c r="H193" s="90" t="s">
        <v>158</v>
      </c>
      <c r="L193" s="92">
        <v>0</v>
      </c>
    </row>
    <row r="194" spans="1:12" x14ac:dyDescent="0.25">
      <c r="A194" s="90" t="s">
        <v>37</v>
      </c>
      <c r="B194" s="90" t="s">
        <v>596</v>
      </c>
      <c r="C194" s="90" t="s">
        <v>597</v>
      </c>
      <c r="D194" s="92">
        <v>16300</v>
      </c>
      <c r="E194" s="92">
        <v>16300</v>
      </c>
      <c r="F194" s="93">
        <v>14175.49</v>
      </c>
      <c r="G194" s="97">
        <v>87</v>
      </c>
      <c r="H194" s="90" t="s">
        <v>13</v>
      </c>
      <c r="L194" s="92">
        <v>0</v>
      </c>
    </row>
    <row r="195" spans="1:12" x14ac:dyDescent="0.25">
      <c r="A195" s="90" t="s">
        <v>37</v>
      </c>
      <c r="B195" s="90" t="s">
        <v>598</v>
      </c>
      <c r="C195" s="90" t="s">
        <v>599</v>
      </c>
      <c r="D195" s="92">
        <v>3812</v>
      </c>
      <c r="E195" s="92">
        <v>3812</v>
      </c>
      <c r="F195" s="93">
        <v>3315.21</v>
      </c>
      <c r="G195" s="97">
        <v>87</v>
      </c>
      <c r="H195" s="90" t="s">
        <v>13</v>
      </c>
      <c r="L195" s="92">
        <v>0</v>
      </c>
    </row>
    <row r="196" spans="1:12" x14ac:dyDescent="0.25">
      <c r="A196" s="90" t="s">
        <v>37</v>
      </c>
      <c r="B196" s="90" t="s">
        <v>600</v>
      </c>
      <c r="C196" s="90" t="s">
        <v>601</v>
      </c>
      <c r="D196" s="92">
        <v>43534</v>
      </c>
      <c r="E196" s="92">
        <v>43534</v>
      </c>
      <c r="F196" s="93">
        <v>39503.339999999997</v>
      </c>
      <c r="G196" s="97">
        <v>90.7</v>
      </c>
      <c r="H196" s="90" t="s">
        <v>13</v>
      </c>
      <c r="L196" s="92">
        <v>0</v>
      </c>
    </row>
    <row r="197" spans="1:12" x14ac:dyDescent="0.25">
      <c r="A197" s="90" t="s">
        <v>37</v>
      </c>
      <c r="B197" s="90" t="s">
        <v>604</v>
      </c>
      <c r="C197" s="90" t="s">
        <v>605</v>
      </c>
      <c r="D197" s="92">
        <v>75000</v>
      </c>
      <c r="E197" s="92">
        <v>75000</v>
      </c>
      <c r="F197" s="93">
        <v>90300.5</v>
      </c>
      <c r="G197" s="97">
        <v>120.4</v>
      </c>
      <c r="H197" s="90" t="s">
        <v>158</v>
      </c>
      <c r="L197" s="92">
        <v>0</v>
      </c>
    </row>
    <row r="198" spans="1:12" x14ac:dyDescent="0.25">
      <c r="A198" s="90" t="s">
        <v>37</v>
      </c>
      <c r="B198" s="90" t="s">
        <v>606</v>
      </c>
      <c r="C198" s="90" t="s">
        <v>607</v>
      </c>
      <c r="D198" s="92">
        <v>1000</v>
      </c>
      <c r="E198" s="92">
        <v>1000</v>
      </c>
      <c r="F198" s="93">
        <v>0</v>
      </c>
      <c r="G198" s="97">
        <v>0</v>
      </c>
      <c r="H198" s="90" t="s">
        <v>13</v>
      </c>
      <c r="L198" s="92">
        <v>0</v>
      </c>
    </row>
    <row r="199" spans="1:12" x14ac:dyDescent="0.25">
      <c r="A199" s="90" t="s">
        <v>37</v>
      </c>
      <c r="B199" s="90" t="s">
        <v>608</v>
      </c>
      <c r="C199" s="90" t="s">
        <v>609</v>
      </c>
      <c r="D199" s="92">
        <v>200</v>
      </c>
      <c r="E199" s="92">
        <v>200</v>
      </c>
      <c r="F199" s="93">
        <v>0</v>
      </c>
      <c r="G199" s="97">
        <v>0</v>
      </c>
      <c r="H199" s="90" t="s">
        <v>13</v>
      </c>
      <c r="L199" s="92">
        <v>0</v>
      </c>
    </row>
    <row r="200" spans="1:12" x14ac:dyDescent="0.25">
      <c r="A200" s="90" t="s">
        <v>37</v>
      </c>
      <c r="B200" s="90" t="s">
        <v>612</v>
      </c>
      <c r="C200" s="90" t="s">
        <v>613</v>
      </c>
      <c r="D200" s="92">
        <v>30000</v>
      </c>
      <c r="E200" s="92">
        <v>30000</v>
      </c>
      <c r="F200" s="93">
        <v>27532.9</v>
      </c>
      <c r="G200" s="97">
        <v>91.8</v>
      </c>
      <c r="H200" s="90" t="s">
        <v>13</v>
      </c>
      <c r="L200" s="92">
        <v>0</v>
      </c>
    </row>
    <row r="201" spans="1:12" x14ac:dyDescent="0.25">
      <c r="A201" s="90" t="s">
        <v>37</v>
      </c>
      <c r="B201" s="90" t="s">
        <v>631</v>
      </c>
      <c r="C201" s="90" t="s">
        <v>632</v>
      </c>
      <c r="D201" s="92">
        <v>50</v>
      </c>
      <c r="E201" s="92">
        <v>50</v>
      </c>
      <c r="F201" s="93">
        <v>0</v>
      </c>
      <c r="G201" s="97">
        <v>0</v>
      </c>
      <c r="H201" s="90" t="s">
        <v>13</v>
      </c>
      <c r="L201" s="92">
        <v>0</v>
      </c>
    </row>
    <row r="202" spans="1:12" x14ac:dyDescent="0.25">
      <c r="A202" s="90" t="s">
        <v>37</v>
      </c>
      <c r="B202" s="90" t="s">
        <v>616</v>
      </c>
      <c r="C202" s="90" t="s">
        <v>617</v>
      </c>
      <c r="D202" s="92">
        <v>51500</v>
      </c>
      <c r="E202" s="92">
        <v>51500</v>
      </c>
      <c r="F202" s="93">
        <v>38269.56</v>
      </c>
      <c r="G202" s="97">
        <v>74.3</v>
      </c>
      <c r="H202" s="90" t="s">
        <v>13</v>
      </c>
      <c r="L202" s="92">
        <v>0</v>
      </c>
    </row>
    <row r="203" spans="1:12" x14ac:dyDescent="0.25">
      <c r="A203" s="90" t="s">
        <v>37</v>
      </c>
      <c r="B203" s="90" t="s">
        <v>618</v>
      </c>
      <c r="C203" s="90" t="s">
        <v>619</v>
      </c>
      <c r="D203" s="92">
        <v>2000</v>
      </c>
      <c r="E203" s="92">
        <v>2000</v>
      </c>
      <c r="F203" s="93">
        <v>996.21</v>
      </c>
      <c r="G203" s="97">
        <v>49.8</v>
      </c>
      <c r="H203" s="90" t="s">
        <v>13</v>
      </c>
      <c r="L203" s="92">
        <v>0</v>
      </c>
    </row>
    <row r="204" spans="1:12" x14ac:dyDescent="0.25">
      <c r="A204" s="90" t="s">
        <v>37</v>
      </c>
      <c r="B204" s="90" t="s">
        <v>622</v>
      </c>
      <c r="C204" s="90" t="s">
        <v>623</v>
      </c>
      <c r="D204" s="92">
        <v>3000</v>
      </c>
      <c r="E204" s="92">
        <v>3000</v>
      </c>
      <c r="F204" s="93">
        <v>1829.54</v>
      </c>
      <c r="G204" s="97">
        <v>61</v>
      </c>
      <c r="H204" s="90" t="s">
        <v>13</v>
      </c>
      <c r="L204" s="92">
        <v>0</v>
      </c>
    </row>
    <row r="205" spans="1:12" x14ac:dyDescent="0.25">
      <c r="A205" s="90" t="s">
        <v>37</v>
      </c>
      <c r="B205" s="90" t="s">
        <v>624</v>
      </c>
      <c r="C205" s="90" t="s">
        <v>625</v>
      </c>
      <c r="D205" s="92">
        <v>2000</v>
      </c>
      <c r="E205" s="92">
        <v>2000</v>
      </c>
      <c r="F205" s="93">
        <v>1716.73</v>
      </c>
      <c r="G205" s="97">
        <v>85.8</v>
      </c>
      <c r="H205" s="90" t="s">
        <v>13</v>
      </c>
      <c r="L205" s="92">
        <v>0</v>
      </c>
    </row>
    <row r="206" spans="1:12" x14ac:dyDescent="0.25">
      <c r="C206" s="91" t="s">
        <v>678</v>
      </c>
      <c r="D206" s="98">
        <f>SUM(D192:D205)</f>
        <v>491284</v>
      </c>
      <c r="E206" s="98">
        <f t="shared" ref="E206:F206" si="12">SUM(E192:E205)</f>
        <v>491284</v>
      </c>
      <c r="F206" s="98">
        <f t="shared" si="12"/>
        <v>450129.33</v>
      </c>
    </row>
    <row r="207" spans="1:12" x14ac:dyDescent="0.25">
      <c r="A207" s="90" t="s">
        <v>39</v>
      </c>
      <c r="B207" s="90" t="s">
        <v>592</v>
      </c>
      <c r="C207" s="90" t="s">
        <v>593</v>
      </c>
      <c r="D207" s="92">
        <v>298603</v>
      </c>
      <c r="E207" s="92">
        <v>298603</v>
      </c>
      <c r="F207" s="93">
        <v>284133.07</v>
      </c>
      <c r="G207" s="97">
        <v>95.2</v>
      </c>
      <c r="H207" s="90" t="s">
        <v>13</v>
      </c>
      <c r="L207" s="92">
        <v>0</v>
      </c>
    </row>
    <row r="208" spans="1:12" x14ac:dyDescent="0.25">
      <c r="A208" s="90" t="s">
        <v>39</v>
      </c>
      <c r="B208" s="90" t="s">
        <v>679</v>
      </c>
      <c r="C208" s="90" t="s">
        <v>680</v>
      </c>
      <c r="D208" s="92">
        <v>500</v>
      </c>
      <c r="E208" s="92">
        <v>500</v>
      </c>
      <c r="F208" s="93">
        <v>0</v>
      </c>
      <c r="G208" s="97">
        <v>0</v>
      </c>
      <c r="H208" s="90" t="s">
        <v>13</v>
      </c>
      <c r="L208" s="92">
        <v>0</v>
      </c>
    </row>
    <row r="209" spans="1:12" x14ac:dyDescent="0.25">
      <c r="A209" s="90" t="s">
        <v>39</v>
      </c>
      <c r="B209" s="90" t="s">
        <v>594</v>
      </c>
      <c r="C209" s="90" t="s">
        <v>595</v>
      </c>
      <c r="D209" s="92">
        <v>8000</v>
      </c>
      <c r="E209" s="92">
        <v>8000</v>
      </c>
      <c r="F209" s="93">
        <v>13817.11</v>
      </c>
      <c r="G209" s="97">
        <v>172.7</v>
      </c>
      <c r="H209" s="90" t="s">
        <v>158</v>
      </c>
      <c r="J209" s="24" t="s">
        <v>152</v>
      </c>
      <c r="L209" s="92">
        <v>0</v>
      </c>
    </row>
    <row r="210" spans="1:12" x14ac:dyDescent="0.25">
      <c r="A210" s="90" t="s">
        <v>39</v>
      </c>
      <c r="B210" s="90" t="s">
        <v>596</v>
      </c>
      <c r="C210" s="90" t="s">
        <v>597</v>
      </c>
      <c r="D210" s="92">
        <v>19009</v>
      </c>
      <c r="E210" s="92">
        <v>19009</v>
      </c>
      <c r="F210" s="93">
        <v>18195.38</v>
      </c>
      <c r="G210" s="97">
        <v>95.7</v>
      </c>
      <c r="H210" s="90" t="s">
        <v>13</v>
      </c>
      <c r="L210" s="92">
        <v>0</v>
      </c>
    </row>
    <row r="211" spans="1:12" x14ac:dyDescent="0.25">
      <c r="A211" s="90" t="s">
        <v>39</v>
      </c>
      <c r="B211" s="90" t="s">
        <v>598</v>
      </c>
      <c r="C211" s="90" t="s">
        <v>599</v>
      </c>
      <c r="D211" s="92">
        <v>4446</v>
      </c>
      <c r="E211" s="92">
        <v>4446</v>
      </c>
      <c r="F211" s="93">
        <v>4255.3500000000004</v>
      </c>
      <c r="G211" s="97">
        <v>95.7</v>
      </c>
      <c r="H211" s="90" t="s">
        <v>13</v>
      </c>
      <c r="L211" s="92">
        <v>0</v>
      </c>
    </row>
    <row r="212" spans="1:12" x14ac:dyDescent="0.25">
      <c r="A212" s="90" t="s">
        <v>39</v>
      </c>
      <c r="B212" s="90" t="s">
        <v>600</v>
      </c>
      <c r="C212" s="90" t="s">
        <v>601</v>
      </c>
      <c r="D212" s="92">
        <v>50773</v>
      </c>
      <c r="E212" s="92">
        <v>50773</v>
      </c>
      <c r="F212" s="93">
        <v>52342.73</v>
      </c>
      <c r="G212" s="97">
        <v>103.1</v>
      </c>
      <c r="H212" s="90" t="s">
        <v>158</v>
      </c>
      <c r="L212" s="92">
        <v>0</v>
      </c>
    </row>
    <row r="213" spans="1:12" x14ac:dyDescent="0.25">
      <c r="A213" s="90" t="s">
        <v>39</v>
      </c>
      <c r="B213" s="90" t="s">
        <v>606</v>
      </c>
      <c r="C213" s="90" t="s">
        <v>607</v>
      </c>
      <c r="D213" s="92">
        <v>0</v>
      </c>
      <c r="E213" s="92">
        <v>0</v>
      </c>
      <c r="F213" s="93">
        <v>216</v>
      </c>
      <c r="G213" s="97">
        <v>100</v>
      </c>
      <c r="H213" s="90" t="s">
        <v>158</v>
      </c>
      <c r="L213" s="92">
        <v>0</v>
      </c>
    </row>
    <row r="214" spans="1:12" x14ac:dyDescent="0.25">
      <c r="A214" s="90" t="s">
        <v>39</v>
      </c>
      <c r="B214" s="90" t="s">
        <v>608</v>
      </c>
      <c r="C214" s="90" t="s">
        <v>609</v>
      </c>
      <c r="D214" s="92">
        <v>250</v>
      </c>
      <c r="E214" s="92">
        <v>250</v>
      </c>
      <c r="F214" s="93">
        <v>164.87</v>
      </c>
      <c r="G214" s="97">
        <v>65.900000000000006</v>
      </c>
      <c r="H214" s="90" t="s">
        <v>13</v>
      </c>
      <c r="L214" s="92">
        <v>0</v>
      </c>
    </row>
    <row r="215" spans="1:12" x14ac:dyDescent="0.25">
      <c r="A215" s="90" t="s">
        <v>39</v>
      </c>
      <c r="B215" s="90" t="s">
        <v>636</v>
      </c>
      <c r="C215" s="90" t="s">
        <v>637</v>
      </c>
      <c r="D215" s="92">
        <v>45885</v>
      </c>
      <c r="E215" s="92">
        <v>45885</v>
      </c>
      <c r="F215" s="93">
        <v>41294.9</v>
      </c>
      <c r="G215" s="97">
        <v>90</v>
      </c>
      <c r="H215" s="90" t="s">
        <v>13</v>
      </c>
      <c r="L215" s="92">
        <v>0</v>
      </c>
    </row>
    <row r="216" spans="1:12" x14ac:dyDescent="0.25">
      <c r="A216" s="90" t="s">
        <v>39</v>
      </c>
      <c r="B216" s="90" t="s">
        <v>610</v>
      </c>
      <c r="C216" s="90" t="s">
        <v>611</v>
      </c>
      <c r="D216" s="92">
        <v>3000</v>
      </c>
      <c r="E216" s="92">
        <v>3000</v>
      </c>
      <c r="F216" s="93">
        <v>1376.69</v>
      </c>
      <c r="G216" s="97">
        <v>45.9</v>
      </c>
      <c r="H216" s="90" t="s">
        <v>13</v>
      </c>
      <c r="L216" s="92">
        <v>0</v>
      </c>
    </row>
    <row r="217" spans="1:12" x14ac:dyDescent="0.25">
      <c r="A217" s="90" t="s">
        <v>39</v>
      </c>
      <c r="B217" s="90" t="s">
        <v>612</v>
      </c>
      <c r="C217" s="90" t="s">
        <v>613</v>
      </c>
      <c r="D217" s="92">
        <v>41700</v>
      </c>
      <c r="E217" s="92">
        <v>41700</v>
      </c>
      <c r="F217" s="93">
        <v>40248.26</v>
      </c>
      <c r="G217" s="97">
        <v>96.5</v>
      </c>
      <c r="H217" s="90" t="s">
        <v>13</v>
      </c>
      <c r="J217" s="24" t="s">
        <v>152</v>
      </c>
      <c r="L217" s="92">
        <v>0</v>
      </c>
    </row>
    <row r="218" spans="1:12" x14ac:dyDescent="0.25">
      <c r="A218" s="90" t="s">
        <v>39</v>
      </c>
      <c r="B218" s="90" t="s">
        <v>631</v>
      </c>
      <c r="C218" s="90" t="s">
        <v>632</v>
      </c>
      <c r="D218" s="92">
        <v>200</v>
      </c>
      <c r="E218" s="92">
        <v>200</v>
      </c>
      <c r="F218" s="93">
        <v>0</v>
      </c>
      <c r="G218" s="97">
        <v>0</v>
      </c>
      <c r="H218" s="90" t="s">
        <v>13</v>
      </c>
      <c r="L218" s="92">
        <v>0</v>
      </c>
    </row>
    <row r="219" spans="1:12" x14ac:dyDescent="0.25">
      <c r="A219" s="90" t="s">
        <v>39</v>
      </c>
      <c r="B219" s="90" t="s">
        <v>616</v>
      </c>
      <c r="C219" s="90" t="s">
        <v>617</v>
      </c>
      <c r="D219" s="92">
        <v>500</v>
      </c>
      <c r="E219" s="92">
        <v>500</v>
      </c>
      <c r="F219" s="93">
        <v>408.97</v>
      </c>
      <c r="G219" s="97">
        <v>81.8</v>
      </c>
      <c r="H219" s="90" t="s">
        <v>13</v>
      </c>
      <c r="L219" s="92">
        <v>0</v>
      </c>
    </row>
    <row r="220" spans="1:12" x14ac:dyDescent="0.25">
      <c r="A220" s="90" t="s">
        <v>39</v>
      </c>
      <c r="B220" s="90" t="s">
        <v>618</v>
      </c>
      <c r="C220" s="90" t="s">
        <v>619</v>
      </c>
      <c r="D220" s="92">
        <v>300</v>
      </c>
      <c r="E220" s="92">
        <v>300</v>
      </c>
      <c r="F220" s="93">
        <v>258.62</v>
      </c>
      <c r="G220" s="97">
        <v>86.2</v>
      </c>
      <c r="H220" s="90" t="s">
        <v>13</v>
      </c>
      <c r="L220" s="92">
        <v>0</v>
      </c>
    </row>
    <row r="221" spans="1:12" x14ac:dyDescent="0.25">
      <c r="A221" s="90" t="s">
        <v>39</v>
      </c>
      <c r="B221" s="90" t="s">
        <v>622</v>
      </c>
      <c r="C221" s="90" t="s">
        <v>623</v>
      </c>
      <c r="D221" s="92">
        <v>4000</v>
      </c>
      <c r="E221" s="92">
        <v>4000</v>
      </c>
      <c r="F221" s="93">
        <v>4022.83</v>
      </c>
      <c r="G221" s="97">
        <v>100.6</v>
      </c>
      <c r="H221" s="90" t="s">
        <v>158</v>
      </c>
      <c r="L221" s="92">
        <v>0</v>
      </c>
    </row>
    <row r="222" spans="1:12" x14ac:dyDescent="0.25">
      <c r="A222" s="90" t="s">
        <v>39</v>
      </c>
      <c r="B222" s="90" t="s">
        <v>667</v>
      </c>
      <c r="C222" s="90" t="s">
        <v>668</v>
      </c>
      <c r="D222" s="92">
        <v>0</v>
      </c>
      <c r="E222" s="92">
        <v>0</v>
      </c>
      <c r="F222" s="93">
        <v>3717.44</v>
      </c>
      <c r="G222" s="97">
        <v>100</v>
      </c>
      <c r="H222" s="90" t="s">
        <v>158</v>
      </c>
      <c r="L222" s="92">
        <v>0</v>
      </c>
    </row>
    <row r="223" spans="1:12" x14ac:dyDescent="0.25">
      <c r="A223" s="90" t="s">
        <v>39</v>
      </c>
      <c r="B223" s="90" t="s">
        <v>644</v>
      </c>
      <c r="C223" s="90" t="s">
        <v>645</v>
      </c>
      <c r="D223" s="92">
        <v>0</v>
      </c>
      <c r="E223" s="92">
        <v>0</v>
      </c>
      <c r="F223" s="93">
        <v>557.80999999999995</v>
      </c>
      <c r="G223" s="97">
        <v>100</v>
      </c>
      <c r="H223" s="90" t="s">
        <v>158</v>
      </c>
      <c r="L223" s="92">
        <v>0</v>
      </c>
    </row>
    <row r="224" spans="1:12" x14ac:dyDescent="0.25">
      <c r="A224" s="90" t="s">
        <v>39</v>
      </c>
      <c r="B224" s="90" t="s">
        <v>624</v>
      </c>
      <c r="C224" s="90" t="s">
        <v>625</v>
      </c>
      <c r="D224" s="92">
        <v>48200</v>
      </c>
      <c r="E224" s="92">
        <v>48200</v>
      </c>
      <c r="F224" s="93">
        <v>47989.1</v>
      </c>
      <c r="G224" s="97">
        <v>99.6</v>
      </c>
      <c r="H224" s="90" t="s">
        <v>13</v>
      </c>
      <c r="L224" s="92">
        <v>0</v>
      </c>
    </row>
    <row r="225" spans="1:14" x14ac:dyDescent="0.25">
      <c r="C225" s="91" t="s">
        <v>681</v>
      </c>
      <c r="D225" s="98">
        <f>SUM(D207:D224)</f>
        <v>525366</v>
      </c>
      <c r="E225" s="98">
        <f t="shared" ref="E225:F225" si="13">SUM(E207:E224)</f>
        <v>525366</v>
      </c>
      <c r="F225" s="98">
        <f t="shared" si="13"/>
        <v>512999.12999999995</v>
      </c>
    </row>
    <row r="226" spans="1:14" x14ac:dyDescent="0.25">
      <c r="A226" s="90" t="s">
        <v>41</v>
      </c>
      <c r="B226" s="90" t="s">
        <v>592</v>
      </c>
      <c r="C226" s="90" t="s">
        <v>593</v>
      </c>
      <c r="D226" s="92">
        <v>563299</v>
      </c>
      <c r="E226" s="92">
        <v>563299</v>
      </c>
      <c r="F226" s="93">
        <v>529300.86</v>
      </c>
      <c r="G226" s="97">
        <v>94</v>
      </c>
      <c r="H226" s="90" t="s">
        <v>13</v>
      </c>
      <c r="L226" s="92">
        <v>0</v>
      </c>
    </row>
    <row r="227" spans="1:14" x14ac:dyDescent="0.25">
      <c r="A227" s="90" t="s">
        <v>41</v>
      </c>
      <c r="B227" s="90" t="s">
        <v>594</v>
      </c>
      <c r="C227" s="90" t="s">
        <v>595</v>
      </c>
      <c r="D227" s="92">
        <v>500</v>
      </c>
      <c r="E227" s="92">
        <v>700</v>
      </c>
      <c r="F227" s="93">
        <v>568.73</v>
      </c>
      <c r="G227" s="97">
        <v>81.2</v>
      </c>
      <c r="H227" s="90" t="s">
        <v>13</v>
      </c>
      <c r="L227" s="92">
        <v>200</v>
      </c>
    </row>
    <row r="228" spans="1:14" x14ac:dyDescent="0.25">
      <c r="A228" s="90" t="s">
        <v>41</v>
      </c>
      <c r="B228" s="90" t="s">
        <v>596</v>
      </c>
      <c r="C228" s="90" t="s">
        <v>597</v>
      </c>
      <c r="D228" s="92">
        <v>34956</v>
      </c>
      <c r="E228" s="92">
        <v>34956</v>
      </c>
      <c r="F228" s="93">
        <v>31947.95</v>
      </c>
      <c r="G228" s="97">
        <v>91.4</v>
      </c>
      <c r="H228" s="90" t="s">
        <v>13</v>
      </c>
      <c r="L228" s="92">
        <v>0</v>
      </c>
    </row>
    <row r="229" spans="1:14" x14ac:dyDescent="0.25">
      <c r="A229" s="90" t="s">
        <v>41</v>
      </c>
      <c r="B229" s="90" t="s">
        <v>598</v>
      </c>
      <c r="C229" s="90" t="s">
        <v>599</v>
      </c>
      <c r="D229" s="92">
        <v>8175</v>
      </c>
      <c r="E229" s="92">
        <v>8175</v>
      </c>
      <c r="F229" s="93">
        <v>7590.27</v>
      </c>
      <c r="G229" s="97">
        <v>92.8</v>
      </c>
      <c r="H229" s="90" t="s">
        <v>13</v>
      </c>
      <c r="L229" s="92">
        <v>0</v>
      </c>
    </row>
    <row r="230" spans="1:14" x14ac:dyDescent="0.25">
      <c r="A230" s="90" t="s">
        <v>41</v>
      </c>
      <c r="B230" s="90" t="s">
        <v>600</v>
      </c>
      <c r="C230" s="90" t="s">
        <v>601</v>
      </c>
      <c r="D230" s="92">
        <v>93365</v>
      </c>
      <c r="E230" s="92">
        <v>93365</v>
      </c>
      <c r="F230" s="93">
        <v>91971.1</v>
      </c>
      <c r="G230" s="97">
        <v>98.5</v>
      </c>
      <c r="H230" s="90" t="s">
        <v>13</v>
      </c>
      <c r="L230" s="92">
        <v>0</v>
      </c>
    </row>
    <row r="231" spans="1:14" x14ac:dyDescent="0.25">
      <c r="A231" s="90" t="s">
        <v>41</v>
      </c>
      <c r="B231" s="90" t="s">
        <v>606</v>
      </c>
      <c r="C231" s="90" t="s">
        <v>607</v>
      </c>
      <c r="D231" s="92">
        <v>100</v>
      </c>
      <c r="E231" s="92">
        <v>100</v>
      </c>
      <c r="F231" s="93">
        <v>91.33</v>
      </c>
      <c r="G231" s="97">
        <v>91.3</v>
      </c>
      <c r="H231" s="90" t="s">
        <v>13</v>
      </c>
      <c r="L231" s="92">
        <v>0</v>
      </c>
    </row>
    <row r="232" spans="1:14" x14ac:dyDescent="0.25">
      <c r="A232" s="90" t="s">
        <v>41</v>
      </c>
      <c r="B232" s="90" t="s">
        <v>608</v>
      </c>
      <c r="C232" s="90" t="s">
        <v>609</v>
      </c>
      <c r="D232" s="92">
        <v>750</v>
      </c>
      <c r="E232" s="92">
        <v>950</v>
      </c>
      <c r="F232" s="93">
        <v>794.36</v>
      </c>
      <c r="G232" s="97">
        <v>83.6</v>
      </c>
      <c r="H232" s="90" t="s">
        <v>13</v>
      </c>
      <c r="L232" s="92">
        <v>200</v>
      </c>
      <c r="N232" s="24" t="s">
        <v>152</v>
      </c>
    </row>
    <row r="233" spans="1:14" x14ac:dyDescent="0.25">
      <c r="A233" s="90" t="s">
        <v>41</v>
      </c>
      <c r="B233" s="90" t="s">
        <v>674</v>
      </c>
      <c r="C233" s="90" t="s">
        <v>675</v>
      </c>
      <c r="D233" s="92">
        <v>500</v>
      </c>
      <c r="E233" s="92">
        <v>200</v>
      </c>
      <c r="F233" s="93">
        <v>0</v>
      </c>
      <c r="G233" s="97">
        <v>0</v>
      </c>
      <c r="H233" s="90" t="s">
        <v>13</v>
      </c>
      <c r="L233" s="92">
        <v>-300</v>
      </c>
    </row>
    <row r="234" spans="1:14" x14ac:dyDescent="0.25">
      <c r="A234" s="90" t="s">
        <v>41</v>
      </c>
      <c r="B234" s="90" t="s">
        <v>610</v>
      </c>
      <c r="C234" s="90" t="s">
        <v>611</v>
      </c>
      <c r="D234" s="92">
        <v>1300</v>
      </c>
      <c r="E234" s="92">
        <v>1300</v>
      </c>
      <c r="F234" s="93">
        <v>1256.28</v>
      </c>
      <c r="G234" s="97">
        <v>96.6</v>
      </c>
      <c r="H234" s="90" t="s">
        <v>13</v>
      </c>
      <c r="L234" s="92">
        <v>0</v>
      </c>
    </row>
    <row r="235" spans="1:14" x14ac:dyDescent="0.25">
      <c r="A235" s="90" t="s">
        <v>41</v>
      </c>
      <c r="B235" s="90" t="s">
        <v>612</v>
      </c>
      <c r="C235" s="90" t="s">
        <v>613</v>
      </c>
      <c r="D235" s="92">
        <v>300000</v>
      </c>
      <c r="E235" s="92">
        <v>350</v>
      </c>
      <c r="F235" s="93">
        <v>301.74</v>
      </c>
      <c r="G235" s="97">
        <v>86.2</v>
      </c>
      <c r="H235" s="90" t="s">
        <v>13</v>
      </c>
      <c r="L235" s="92">
        <v>-299650</v>
      </c>
    </row>
    <row r="236" spans="1:14" x14ac:dyDescent="0.25">
      <c r="A236" s="90" t="s">
        <v>41</v>
      </c>
      <c r="B236" s="90" t="s">
        <v>614</v>
      </c>
      <c r="C236" s="90" t="s">
        <v>615</v>
      </c>
      <c r="D236" s="92">
        <v>0</v>
      </c>
      <c r="E236" s="92">
        <v>300000</v>
      </c>
      <c r="F236" s="93">
        <v>371398.77</v>
      </c>
      <c r="G236" s="97">
        <v>123.8</v>
      </c>
      <c r="H236" s="90" t="s">
        <v>158</v>
      </c>
      <c r="L236" s="92">
        <v>300000</v>
      </c>
    </row>
    <row r="237" spans="1:14" x14ac:dyDescent="0.25">
      <c r="A237" s="90" t="s">
        <v>41</v>
      </c>
      <c r="B237" s="90" t="s">
        <v>682</v>
      </c>
      <c r="C237" s="90" t="s">
        <v>683</v>
      </c>
      <c r="D237" s="92">
        <v>1000</v>
      </c>
      <c r="E237" s="92">
        <v>1000</v>
      </c>
      <c r="F237" s="93">
        <v>210</v>
      </c>
      <c r="G237" s="97">
        <v>21</v>
      </c>
      <c r="H237" s="90" t="s">
        <v>13</v>
      </c>
      <c r="L237" s="92">
        <v>0</v>
      </c>
    </row>
    <row r="238" spans="1:14" x14ac:dyDescent="0.25">
      <c r="A238" s="90" t="s">
        <v>41</v>
      </c>
      <c r="B238" s="90" t="s">
        <v>616</v>
      </c>
      <c r="C238" s="90" t="s">
        <v>617</v>
      </c>
      <c r="D238" s="92">
        <v>3500</v>
      </c>
      <c r="E238" s="92">
        <v>3200</v>
      </c>
      <c r="F238" s="93">
        <v>2049.96</v>
      </c>
      <c r="G238" s="97">
        <v>64.099999999999994</v>
      </c>
      <c r="H238" s="90" t="s">
        <v>13</v>
      </c>
      <c r="L238" s="92">
        <v>-300</v>
      </c>
    </row>
    <row r="239" spans="1:14" x14ac:dyDescent="0.25">
      <c r="A239" s="90" t="s">
        <v>41</v>
      </c>
      <c r="B239" s="90" t="s">
        <v>618</v>
      </c>
      <c r="C239" s="90" t="s">
        <v>619</v>
      </c>
      <c r="D239" s="92">
        <v>6000</v>
      </c>
      <c r="E239" s="92">
        <v>4550</v>
      </c>
      <c r="F239" s="93">
        <v>1088.06</v>
      </c>
      <c r="G239" s="97">
        <v>23.9</v>
      </c>
      <c r="H239" s="90" t="s">
        <v>13</v>
      </c>
      <c r="L239" s="92">
        <v>-1450</v>
      </c>
    </row>
    <row r="240" spans="1:14" x14ac:dyDescent="0.25">
      <c r="A240" s="90" t="s">
        <v>41</v>
      </c>
      <c r="B240" s="90" t="s">
        <v>620</v>
      </c>
      <c r="C240" s="90" t="s">
        <v>621</v>
      </c>
      <c r="D240" s="92">
        <v>1000</v>
      </c>
      <c r="E240" s="92">
        <v>1000</v>
      </c>
      <c r="F240" s="93">
        <v>544.03</v>
      </c>
      <c r="G240" s="97">
        <v>54.4</v>
      </c>
      <c r="H240" s="90" t="s">
        <v>13</v>
      </c>
      <c r="L240" s="92">
        <v>0</v>
      </c>
    </row>
    <row r="241" spans="1:12" x14ac:dyDescent="0.25">
      <c r="A241" s="90" t="s">
        <v>41</v>
      </c>
      <c r="B241" s="90" t="s">
        <v>622</v>
      </c>
      <c r="C241" s="90" t="s">
        <v>623</v>
      </c>
      <c r="D241" s="92">
        <v>4500</v>
      </c>
      <c r="E241" s="92">
        <v>5800</v>
      </c>
      <c r="F241" s="93">
        <v>5705.46</v>
      </c>
      <c r="G241" s="97">
        <v>98.4</v>
      </c>
      <c r="H241" s="90" t="s">
        <v>13</v>
      </c>
      <c r="L241" s="92">
        <v>1300</v>
      </c>
    </row>
    <row r="242" spans="1:12" x14ac:dyDescent="0.25">
      <c r="C242" s="91" t="s">
        <v>684</v>
      </c>
      <c r="D242" s="98">
        <f>SUM(D226:D241)</f>
        <v>1018945</v>
      </c>
      <c r="E242" s="98">
        <f t="shared" ref="E242:F242" si="14">SUM(E226:E241)</f>
        <v>1018945</v>
      </c>
      <c r="F242" s="98">
        <f t="shared" si="14"/>
        <v>1044818.8999999999</v>
      </c>
    </row>
    <row r="243" spans="1:12" x14ac:dyDescent="0.25">
      <c r="A243" s="90" t="s">
        <v>43</v>
      </c>
      <c r="B243" s="90" t="s">
        <v>592</v>
      </c>
      <c r="C243" s="90" t="s">
        <v>593</v>
      </c>
      <c r="D243" s="92">
        <v>1243919</v>
      </c>
      <c r="E243" s="92">
        <v>1154676</v>
      </c>
      <c r="F243" s="93">
        <v>1052818.1100000001</v>
      </c>
      <c r="G243" s="97">
        <v>91.2</v>
      </c>
      <c r="H243" s="90" t="s">
        <v>13</v>
      </c>
      <c r="L243" s="92">
        <v>-89243</v>
      </c>
    </row>
    <row r="244" spans="1:12" x14ac:dyDescent="0.25">
      <c r="A244" s="90" t="s">
        <v>43</v>
      </c>
      <c r="B244" s="90" t="s">
        <v>594</v>
      </c>
      <c r="C244" s="90" t="s">
        <v>595</v>
      </c>
      <c r="D244" s="92">
        <v>1000</v>
      </c>
      <c r="E244" s="92">
        <v>1000</v>
      </c>
      <c r="F244" s="93">
        <v>21.06</v>
      </c>
      <c r="G244" s="97">
        <v>2.1</v>
      </c>
      <c r="H244" s="90" t="s">
        <v>13</v>
      </c>
      <c r="L244" s="92">
        <v>0</v>
      </c>
    </row>
    <row r="245" spans="1:12" x14ac:dyDescent="0.25">
      <c r="A245" s="90" t="s">
        <v>43</v>
      </c>
      <c r="B245" s="90" t="s">
        <v>596</v>
      </c>
      <c r="C245" s="90" t="s">
        <v>597</v>
      </c>
      <c r="D245" s="92">
        <v>77185</v>
      </c>
      <c r="E245" s="92">
        <v>71651</v>
      </c>
      <c r="F245" s="93">
        <v>63304.639999999999</v>
      </c>
      <c r="G245" s="97">
        <v>88.4</v>
      </c>
      <c r="H245" s="90" t="s">
        <v>13</v>
      </c>
      <c r="L245" s="92">
        <v>-5534</v>
      </c>
    </row>
    <row r="246" spans="1:12" x14ac:dyDescent="0.25">
      <c r="A246" s="90" t="s">
        <v>43</v>
      </c>
      <c r="B246" s="90" t="s">
        <v>598</v>
      </c>
      <c r="C246" s="90" t="s">
        <v>599</v>
      </c>
      <c r="D246" s="92">
        <v>18052</v>
      </c>
      <c r="E246" s="92">
        <v>16757</v>
      </c>
      <c r="F246" s="93">
        <v>14804.96</v>
      </c>
      <c r="G246" s="97">
        <v>88.4</v>
      </c>
      <c r="H246" s="90" t="s">
        <v>13</v>
      </c>
      <c r="L246" s="92">
        <v>-1295</v>
      </c>
    </row>
    <row r="247" spans="1:12" x14ac:dyDescent="0.25">
      <c r="A247" s="90" t="s">
        <v>43</v>
      </c>
      <c r="B247" s="90" t="s">
        <v>600</v>
      </c>
      <c r="C247" s="90" t="s">
        <v>601</v>
      </c>
      <c r="D247" s="92">
        <v>206160</v>
      </c>
      <c r="E247" s="92">
        <v>190489</v>
      </c>
      <c r="F247" s="93">
        <v>183893.62</v>
      </c>
      <c r="G247" s="97">
        <v>96.5</v>
      </c>
      <c r="H247" s="90" t="s">
        <v>13</v>
      </c>
      <c r="L247" s="92">
        <v>-15671</v>
      </c>
    </row>
    <row r="248" spans="1:12" x14ac:dyDescent="0.25">
      <c r="A248" s="90" t="s">
        <v>43</v>
      </c>
      <c r="B248" s="90" t="s">
        <v>606</v>
      </c>
      <c r="C248" s="90" t="s">
        <v>607</v>
      </c>
      <c r="D248" s="92">
        <v>6000</v>
      </c>
      <c r="E248" s="92">
        <v>3967</v>
      </c>
      <c r="F248" s="93">
        <v>2487.9</v>
      </c>
      <c r="G248" s="97">
        <v>62.7</v>
      </c>
      <c r="H248" s="90" t="s">
        <v>13</v>
      </c>
      <c r="L248" s="92">
        <v>-2033</v>
      </c>
    </row>
    <row r="249" spans="1:12" x14ac:dyDescent="0.25">
      <c r="A249" s="90" t="s">
        <v>43</v>
      </c>
      <c r="B249" s="90" t="s">
        <v>608</v>
      </c>
      <c r="C249" s="90" t="s">
        <v>609</v>
      </c>
      <c r="D249" s="92">
        <v>5000</v>
      </c>
      <c r="E249" s="92">
        <v>5000</v>
      </c>
      <c r="F249" s="93">
        <v>4018.53</v>
      </c>
      <c r="G249" s="97">
        <v>80.400000000000006</v>
      </c>
      <c r="H249" s="90" t="s">
        <v>13</v>
      </c>
      <c r="L249" s="92">
        <v>0</v>
      </c>
    </row>
    <row r="250" spans="1:12" x14ac:dyDescent="0.25">
      <c r="A250" s="90" t="s">
        <v>43</v>
      </c>
      <c r="B250" s="90" t="s">
        <v>610</v>
      </c>
      <c r="C250" s="90" t="s">
        <v>611</v>
      </c>
      <c r="D250" s="92">
        <v>3500</v>
      </c>
      <c r="E250" s="92">
        <v>2189</v>
      </c>
      <c r="F250" s="93">
        <v>2391.67</v>
      </c>
      <c r="G250" s="97">
        <v>109.3</v>
      </c>
      <c r="H250" s="90" t="s">
        <v>158</v>
      </c>
      <c r="L250" s="92">
        <v>-1311</v>
      </c>
    </row>
    <row r="251" spans="1:12" x14ac:dyDescent="0.25">
      <c r="A251" s="90" t="s">
        <v>43</v>
      </c>
      <c r="B251" s="90" t="s">
        <v>612</v>
      </c>
      <c r="C251" s="90" t="s">
        <v>613</v>
      </c>
      <c r="D251" s="92">
        <v>145000</v>
      </c>
      <c r="E251" s="92">
        <v>143550</v>
      </c>
      <c r="F251" s="93">
        <v>115972.5</v>
      </c>
      <c r="G251" s="97">
        <v>80.8</v>
      </c>
      <c r="H251" s="90" t="s">
        <v>13</v>
      </c>
      <c r="L251" s="92">
        <v>-1450</v>
      </c>
    </row>
    <row r="252" spans="1:12" x14ac:dyDescent="0.25">
      <c r="A252" s="90" t="s">
        <v>43</v>
      </c>
      <c r="B252" s="90" t="s">
        <v>616</v>
      </c>
      <c r="C252" s="90" t="s">
        <v>617</v>
      </c>
      <c r="D252" s="92">
        <v>4000</v>
      </c>
      <c r="E252" s="92">
        <v>3000</v>
      </c>
      <c r="F252" s="93">
        <v>2784</v>
      </c>
      <c r="G252" s="97">
        <v>92.8</v>
      </c>
      <c r="H252" s="90" t="s">
        <v>13</v>
      </c>
      <c r="L252" s="92">
        <v>-1000</v>
      </c>
    </row>
    <row r="253" spans="1:12" x14ac:dyDescent="0.25">
      <c r="A253" s="90" t="s">
        <v>43</v>
      </c>
      <c r="B253" s="90" t="s">
        <v>618</v>
      </c>
      <c r="C253" s="90" t="s">
        <v>619</v>
      </c>
      <c r="D253" s="92">
        <v>12000</v>
      </c>
      <c r="E253" s="92">
        <v>9000</v>
      </c>
      <c r="F253" s="93">
        <v>8229.26</v>
      </c>
      <c r="G253" s="97">
        <v>91.4</v>
      </c>
      <c r="H253" s="90" t="s">
        <v>13</v>
      </c>
      <c r="L253" s="92">
        <v>-3000</v>
      </c>
    </row>
    <row r="254" spans="1:12" x14ac:dyDescent="0.25">
      <c r="A254" s="90" t="s">
        <v>43</v>
      </c>
      <c r="B254" s="90" t="s">
        <v>622</v>
      </c>
      <c r="C254" s="90" t="s">
        <v>623</v>
      </c>
      <c r="D254" s="92">
        <v>12000</v>
      </c>
      <c r="E254" s="92">
        <v>12000</v>
      </c>
      <c r="F254" s="93">
        <v>11986.54</v>
      </c>
      <c r="G254" s="97">
        <v>99.9</v>
      </c>
      <c r="H254" s="90" t="s">
        <v>13</v>
      </c>
      <c r="L254" s="92">
        <v>0</v>
      </c>
    </row>
    <row r="255" spans="1:12" x14ac:dyDescent="0.25">
      <c r="A255" s="90" t="s">
        <v>43</v>
      </c>
      <c r="B255" s="90" t="s">
        <v>624</v>
      </c>
      <c r="C255" s="90" t="s">
        <v>625</v>
      </c>
      <c r="D255" s="92">
        <v>5000</v>
      </c>
      <c r="E255" s="92">
        <v>5000</v>
      </c>
      <c r="F255" s="93">
        <v>4700.22</v>
      </c>
      <c r="G255" s="97">
        <v>94</v>
      </c>
      <c r="H255" s="90" t="s">
        <v>13</v>
      </c>
      <c r="L255" s="92">
        <v>0</v>
      </c>
    </row>
    <row r="256" spans="1:12" x14ac:dyDescent="0.25">
      <c r="A256" s="90" t="s">
        <v>43</v>
      </c>
      <c r="B256" s="90" t="s">
        <v>646</v>
      </c>
      <c r="C256" s="90" t="s">
        <v>647</v>
      </c>
      <c r="D256" s="92">
        <v>0</v>
      </c>
      <c r="E256" s="92">
        <v>32221</v>
      </c>
      <c r="F256" s="93">
        <v>27685</v>
      </c>
      <c r="G256" s="97">
        <v>85.9</v>
      </c>
      <c r="H256" s="90" t="s">
        <v>13</v>
      </c>
      <c r="L256" s="92">
        <v>32221</v>
      </c>
    </row>
    <row r="257" spans="1:12" x14ac:dyDescent="0.25">
      <c r="A257" s="90" t="s">
        <v>43</v>
      </c>
      <c r="B257" s="90" t="s">
        <v>628</v>
      </c>
      <c r="C257" s="90" t="s">
        <v>629</v>
      </c>
      <c r="D257" s="92">
        <v>6402</v>
      </c>
      <c r="E257" s="92">
        <v>0</v>
      </c>
      <c r="F257" s="93">
        <v>0</v>
      </c>
      <c r="G257" s="97">
        <v>0</v>
      </c>
      <c r="H257" s="90" t="s">
        <v>13</v>
      </c>
      <c r="L257" s="92">
        <v>-6402</v>
      </c>
    </row>
    <row r="258" spans="1:12" x14ac:dyDescent="0.25">
      <c r="C258" s="91" t="s">
        <v>685</v>
      </c>
      <c r="D258" s="98">
        <f>SUM(D243:D257)</f>
        <v>1745218</v>
      </c>
      <c r="E258" s="98">
        <f t="shared" ref="E258:F258" si="15">SUM(E243:E257)</f>
        <v>1650500</v>
      </c>
      <c r="F258" s="98">
        <f t="shared" si="15"/>
        <v>1495098.01</v>
      </c>
    </row>
    <row r="259" spans="1:12" x14ac:dyDescent="0.25">
      <c r="A259" s="90" t="s">
        <v>45</v>
      </c>
      <c r="B259" s="90" t="s">
        <v>592</v>
      </c>
      <c r="C259" s="90" t="s">
        <v>593</v>
      </c>
      <c r="D259" s="92">
        <v>166859</v>
      </c>
      <c r="E259" s="92">
        <v>166859</v>
      </c>
      <c r="F259" s="93">
        <v>168185.37</v>
      </c>
      <c r="G259" s="97">
        <v>100.8</v>
      </c>
      <c r="H259" s="90" t="s">
        <v>158</v>
      </c>
      <c r="L259" s="92">
        <v>0</v>
      </c>
    </row>
    <row r="260" spans="1:12" x14ac:dyDescent="0.25">
      <c r="A260" s="90" t="s">
        <v>45</v>
      </c>
      <c r="B260" s="90" t="s">
        <v>594</v>
      </c>
      <c r="C260" s="90" t="s">
        <v>595</v>
      </c>
      <c r="D260" s="92">
        <v>0</v>
      </c>
      <c r="E260" s="92">
        <v>0</v>
      </c>
      <c r="F260" s="93">
        <v>128.63</v>
      </c>
      <c r="G260" s="97">
        <v>100</v>
      </c>
      <c r="H260" s="90" t="s">
        <v>158</v>
      </c>
      <c r="J260" s="24" t="s">
        <v>152</v>
      </c>
      <c r="L260" s="92">
        <v>0</v>
      </c>
    </row>
    <row r="261" spans="1:12" x14ac:dyDescent="0.25">
      <c r="A261" s="90" t="s">
        <v>45</v>
      </c>
      <c r="B261" s="90" t="s">
        <v>596</v>
      </c>
      <c r="C261" s="90" t="s">
        <v>597</v>
      </c>
      <c r="D261" s="92">
        <v>10345</v>
      </c>
      <c r="E261" s="92">
        <v>10345</v>
      </c>
      <c r="F261" s="93">
        <v>10277.73</v>
      </c>
      <c r="G261" s="97">
        <v>99.3</v>
      </c>
      <c r="H261" s="90" t="s">
        <v>13</v>
      </c>
      <c r="L261" s="92">
        <v>0</v>
      </c>
    </row>
    <row r="262" spans="1:12" x14ac:dyDescent="0.25">
      <c r="A262" s="90" t="s">
        <v>45</v>
      </c>
      <c r="B262" s="90" t="s">
        <v>598</v>
      </c>
      <c r="C262" s="90" t="s">
        <v>599</v>
      </c>
      <c r="D262" s="92">
        <v>2419</v>
      </c>
      <c r="E262" s="92">
        <v>2419</v>
      </c>
      <c r="F262" s="93">
        <v>2403.65</v>
      </c>
      <c r="G262" s="97">
        <v>99.4</v>
      </c>
      <c r="H262" s="90" t="s">
        <v>13</v>
      </c>
      <c r="L262" s="92">
        <v>0</v>
      </c>
    </row>
    <row r="263" spans="1:12" x14ac:dyDescent="0.25">
      <c r="A263" s="90" t="s">
        <v>45</v>
      </c>
      <c r="B263" s="90" t="s">
        <v>600</v>
      </c>
      <c r="C263" s="90" t="s">
        <v>601</v>
      </c>
      <c r="D263" s="92">
        <v>27632</v>
      </c>
      <c r="E263" s="92">
        <v>27632</v>
      </c>
      <c r="F263" s="93">
        <v>29557.759999999998</v>
      </c>
      <c r="G263" s="97">
        <v>107</v>
      </c>
      <c r="H263" s="90" t="s">
        <v>158</v>
      </c>
      <c r="L263" s="92">
        <v>0</v>
      </c>
    </row>
    <row r="264" spans="1:12" x14ac:dyDescent="0.25">
      <c r="A264" s="90" t="s">
        <v>45</v>
      </c>
      <c r="B264" s="90" t="s">
        <v>606</v>
      </c>
      <c r="C264" s="90" t="s">
        <v>607</v>
      </c>
      <c r="D264" s="92">
        <v>300</v>
      </c>
      <c r="E264" s="92">
        <v>300</v>
      </c>
      <c r="F264" s="93">
        <v>0</v>
      </c>
      <c r="G264" s="97">
        <v>0</v>
      </c>
      <c r="H264" s="90" t="s">
        <v>13</v>
      </c>
      <c r="L264" s="92">
        <v>0</v>
      </c>
    </row>
    <row r="265" spans="1:12" x14ac:dyDescent="0.25">
      <c r="A265" s="90" t="s">
        <v>45</v>
      </c>
      <c r="B265" s="90" t="s">
        <v>608</v>
      </c>
      <c r="C265" s="90" t="s">
        <v>609</v>
      </c>
      <c r="D265" s="92">
        <v>250</v>
      </c>
      <c r="E265" s="92">
        <v>250</v>
      </c>
      <c r="F265" s="93">
        <v>38.450000000000003</v>
      </c>
      <c r="G265" s="97">
        <v>15.4</v>
      </c>
      <c r="H265" s="90" t="s">
        <v>13</v>
      </c>
      <c r="L265" s="92">
        <v>0</v>
      </c>
    </row>
    <row r="266" spans="1:12" x14ac:dyDescent="0.25">
      <c r="A266" s="90" t="s">
        <v>45</v>
      </c>
      <c r="B266" s="90" t="s">
        <v>612</v>
      </c>
      <c r="C266" s="90" t="s">
        <v>613</v>
      </c>
      <c r="D266" s="92">
        <v>53000</v>
      </c>
      <c r="E266" s="92">
        <v>53000</v>
      </c>
      <c r="F266" s="93">
        <v>50493.3</v>
      </c>
      <c r="G266" s="97">
        <v>95.3</v>
      </c>
      <c r="H266" s="90" t="s">
        <v>13</v>
      </c>
      <c r="L266" s="92">
        <v>0</v>
      </c>
    </row>
    <row r="267" spans="1:12" x14ac:dyDescent="0.25">
      <c r="A267" s="90" t="s">
        <v>45</v>
      </c>
      <c r="B267" s="90" t="s">
        <v>616</v>
      </c>
      <c r="C267" s="90" t="s">
        <v>617</v>
      </c>
      <c r="D267" s="92">
        <v>2355</v>
      </c>
      <c r="E267" s="92">
        <v>2355</v>
      </c>
      <c r="F267" s="93">
        <v>1704</v>
      </c>
      <c r="G267" s="97">
        <v>72.400000000000006</v>
      </c>
      <c r="H267" s="90" t="s">
        <v>13</v>
      </c>
      <c r="L267" s="92">
        <v>0</v>
      </c>
    </row>
    <row r="268" spans="1:12" x14ac:dyDescent="0.25">
      <c r="A268" s="90" t="s">
        <v>45</v>
      </c>
      <c r="B268" s="90" t="s">
        <v>618</v>
      </c>
      <c r="C268" s="90" t="s">
        <v>619</v>
      </c>
      <c r="D268" s="92">
        <v>10705</v>
      </c>
      <c r="E268" s="92">
        <v>10705</v>
      </c>
      <c r="F268" s="93">
        <v>9968.16</v>
      </c>
      <c r="G268" s="97">
        <v>93.1</v>
      </c>
      <c r="H268" s="90" t="s">
        <v>13</v>
      </c>
      <c r="L268" s="92">
        <v>0</v>
      </c>
    </row>
    <row r="269" spans="1:12" x14ac:dyDescent="0.25">
      <c r="A269" s="90" t="s">
        <v>45</v>
      </c>
      <c r="B269" s="90" t="s">
        <v>686</v>
      </c>
      <c r="C269" s="90" t="s">
        <v>687</v>
      </c>
      <c r="D269" s="92">
        <v>500000</v>
      </c>
      <c r="E269" s="92">
        <v>500000</v>
      </c>
      <c r="F269" s="93">
        <v>413805.97</v>
      </c>
      <c r="G269" s="97">
        <v>82.8</v>
      </c>
      <c r="H269" s="90" t="s">
        <v>13</v>
      </c>
      <c r="L269" s="92">
        <v>0</v>
      </c>
    </row>
    <row r="270" spans="1:12" x14ac:dyDescent="0.25">
      <c r="A270" s="90" t="s">
        <v>45</v>
      </c>
      <c r="B270" s="90" t="s">
        <v>688</v>
      </c>
      <c r="C270" s="90" t="s">
        <v>689</v>
      </c>
      <c r="D270" s="92">
        <v>540000</v>
      </c>
      <c r="E270" s="92">
        <v>540000</v>
      </c>
      <c r="F270" s="93">
        <v>431303.03</v>
      </c>
      <c r="G270" s="97">
        <v>79.900000000000006</v>
      </c>
      <c r="H270" s="90" t="s">
        <v>13</v>
      </c>
      <c r="L270" s="92">
        <v>0</v>
      </c>
    </row>
    <row r="271" spans="1:12" x14ac:dyDescent="0.25">
      <c r="A271" s="90" t="s">
        <v>45</v>
      </c>
      <c r="B271" s="90" t="s">
        <v>690</v>
      </c>
      <c r="C271" s="90" t="s">
        <v>691</v>
      </c>
      <c r="D271" s="92">
        <v>25000</v>
      </c>
      <c r="E271" s="92">
        <v>25000</v>
      </c>
      <c r="F271" s="93">
        <v>14001.5</v>
      </c>
      <c r="G271" s="97">
        <v>56</v>
      </c>
      <c r="H271" s="90" t="s">
        <v>13</v>
      </c>
      <c r="L271" s="92">
        <v>0</v>
      </c>
    </row>
    <row r="272" spans="1:12" x14ac:dyDescent="0.25">
      <c r="A272" s="90" t="s">
        <v>45</v>
      </c>
      <c r="B272" s="90" t="s">
        <v>638</v>
      </c>
      <c r="C272" s="90" t="s">
        <v>639</v>
      </c>
      <c r="D272" s="92">
        <v>1140000</v>
      </c>
      <c r="E272" s="92">
        <v>1140000</v>
      </c>
      <c r="F272" s="93">
        <v>798217.72</v>
      </c>
      <c r="G272" s="97">
        <v>70</v>
      </c>
      <c r="H272" s="90" t="s">
        <v>13</v>
      </c>
      <c r="L272" s="92">
        <v>0</v>
      </c>
    </row>
    <row r="273" spans="1:12" x14ac:dyDescent="0.25">
      <c r="A273" s="90" t="s">
        <v>45</v>
      </c>
      <c r="B273" s="90" t="s">
        <v>692</v>
      </c>
      <c r="C273" s="90" t="s">
        <v>693</v>
      </c>
      <c r="D273" s="92">
        <v>2100000</v>
      </c>
      <c r="E273" s="92">
        <v>1897572</v>
      </c>
      <c r="F273" s="93">
        <v>793701.22</v>
      </c>
      <c r="G273" s="97">
        <v>41.8</v>
      </c>
      <c r="H273" s="90" t="s">
        <v>13</v>
      </c>
      <c r="L273" s="92">
        <v>-202428</v>
      </c>
    </row>
    <row r="274" spans="1:12" x14ac:dyDescent="0.25">
      <c r="A274" s="90" t="s">
        <v>45</v>
      </c>
      <c r="B274" s="90" t="s">
        <v>622</v>
      </c>
      <c r="C274" s="90" t="s">
        <v>623</v>
      </c>
      <c r="D274" s="92">
        <v>3000</v>
      </c>
      <c r="E274" s="92">
        <v>3000</v>
      </c>
      <c r="F274" s="93">
        <v>2479.04</v>
      </c>
      <c r="G274" s="97">
        <v>82.6</v>
      </c>
      <c r="H274" s="90" t="s">
        <v>13</v>
      </c>
      <c r="L274" s="92">
        <v>0</v>
      </c>
    </row>
    <row r="275" spans="1:12" x14ac:dyDescent="0.25">
      <c r="A275" s="90" t="s">
        <v>45</v>
      </c>
      <c r="B275" s="90" t="s">
        <v>624</v>
      </c>
      <c r="C275" s="90" t="s">
        <v>625</v>
      </c>
      <c r="D275" s="92">
        <v>1000</v>
      </c>
      <c r="E275" s="92">
        <v>203428</v>
      </c>
      <c r="F275" s="93">
        <v>197293.25</v>
      </c>
      <c r="G275" s="97">
        <v>97</v>
      </c>
      <c r="H275" s="90" t="s">
        <v>13</v>
      </c>
      <c r="L275" s="92">
        <v>202428</v>
      </c>
    </row>
    <row r="276" spans="1:12" x14ac:dyDescent="0.25">
      <c r="C276" s="91" t="s">
        <v>694</v>
      </c>
      <c r="D276" s="98">
        <f>SUM(D259:D275)</f>
        <v>4582865</v>
      </c>
      <c r="E276" s="98">
        <f t="shared" ref="E276:F276" si="16">SUM(E259:E275)</f>
        <v>4582865</v>
      </c>
      <c r="F276" s="98">
        <f t="shared" si="16"/>
        <v>2923558.7800000003</v>
      </c>
    </row>
    <row r="277" spans="1:12" x14ac:dyDescent="0.25">
      <c r="A277" s="90" t="s">
        <v>47</v>
      </c>
      <c r="B277" s="90" t="s">
        <v>592</v>
      </c>
      <c r="C277" s="90" t="s">
        <v>593</v>
      </c>
      <c r="D277" s="92">
        <v>189265</v>
      </c>
      <c r="E277" s="92">
        <v>189265</v>
      </c>
      <c r="F277" s="93">
        <v>196784.21</v>
      </c>
      <c r="G277" s="97">
        <v>104</v>
      </c>
      <c r="H277" s="90" t="s">
        <v>158</v>
      </c>
      <c r="I277" s="24" t="s">
        <v>152</v>
      </c>
      <c r="L277" s="92">
        <v>0</v>
      </c>
    </row>
    <row r="278" spans="1:12" x14ac:dyDescent="0.25">
      <c r="A278" s="90" t="s">
        <v>47</v>
      </c>
      <c r="B278" s="90" t="s">
        <v>596</v>
      </c>
      <c r="C278" s="90" t="s">
        <v>597</v>
      </c>
      <c r="D278" s="92">
        <v>11734</v>
      </c>
      <c r="E278" s="92">
        <v>11734</v>
      </c>
      <c r="F278" s="93">
        <v>11849.12</v>
      </c>
      <c r="G278" s="97">
        <v>101</v>
      </c>
      <c r="H278" s="90" t="s">
        <v>158</v>
      </c>
      <c r="L278" s="92">
        <v>0</v>
      </c>
    </row>
    <row r="279" spans="1:12" x14ac:dyDescent="0.25">
      <c r="A279" s="90" t="s">
        <v>47</v>
      </c>
      <c r="B279" s="90" t="s">
        <v>598</v>
      </c>
      <c r="C279" s="90" t="s">
        <v>599</v>
      </c>
      <c r="D279" s="92">
        <v>2744</v>
      </c>
      <c r="E279" s="92">
        <v>2744</v>
      </c>
      <c r="F279" s="93">
        <v>2771.15</v>
      </c>
      <c r="G279" s="97">
        <v>101</v>
      </c>
      <c r="H279" s="90" t="s">
        <v>158</v>
      </c>
      <c r="L279" s="92">
        <v>0</v>
      </c>
    </row>
    <row r="280" spans="1:12" x14ac:dyDescent="0.25">
      <c r="A280" s="90" t="s">
        <v>47</v>
      </c>
      <c r="B280" s="90" t="s">
        <v>600</v>
      </c>
      <c r="C280" s="90" t="s">
        <v>601</v>
      </c>
      <c r="D280" s="92">
        <v>31342</v>
      </c>
      <c r="E280" s="92">
        <v>31342</v>
      </c>
      <c r="F280" s="93">
        <v>33831.47</v>
      </c>
      <c r="G280" s="97">
        <v>107.9</v>
      </c>
      <c r="H280" s="90" t="s">
        <v>158</v>
      </c>
      <c r="L280" s="92">
        <v>0</v>
      </c>
    </row>
    <row r="281" spans="1:12" x14ac:dyDescent="0.25">
      <c r="A281" s="90" t="s">
        <v>47</v>
      </c>
      <c r="B281" s="90" t="s">
        <v>604</v>
      </c>
      <c r="C281" s="90" t="s">
        <v>605</v>
      </c>
      <c r="D281" s="92">
        <v>4300</v>
      </c>
      <c r="E281" s="92">
        <v>5000</v>
      </c>
      <c r="F281" s="93">
        <v>4856.33</v>
      </c>
      <c r="G281" s="97">
        <v>97.1</v>
      </c>
      <c r="H281" s="90" t="s">
        <v>13</v>
      </c>
      <c r="L281" s="92">
        <v>700</v>
      </c>
    </row>
    <row r="282" spans="1:12" x14ac:dyDescent="0.25">
      <c r="A282" s="90" t="s">
        <v>47</v>
      </c>
      <c r="B282" s="90" t="s">
        <v>606</v>
      </c>
      <c r="C282" s="90" t="s">
        <v>607</v>
      </c>
      <c r="D282" s="92">
        <v>1000</v>
      </c>
      <c r="E282" s="92">
        <v>1000</v>
      </c>
      <c r="F282" s="93">
        <v>243.65</v>
      </c>
      <c r="G282" s="97">
        <v>24.4</v>
      </c>
      <c r="H282" s="90" t="s">
        <v>13</v>
      </c>
      <c r="L282" s="92">
        <v>0</v>
      </c>
    </row>
    <row r="283" spans="1:12" x14ac:dyDescent="0.25">
      <c r="A283" s="90" t="s">
        <v>47</v>
      </c>
      <c r="B283" s="90" t="s">
        <v>608</v>
      </c>
      <c r="C283" s="90" t="s">
        <v>609</v>
      </c>
      <c r="D283" s="92">
        <v>800</v>
      </c>
      <c r="E283" s="92">
        <v>100</v>
      </c>
      <c r="F283" s="93">
        <v>1.74</v>
      </c>
      <c r="G283" s="97">
        <v>1.7</v>
      </c>
      <c r="H283" s="90" t="s">
        <v>13</v>
      </c>
      <c r="L283" s="92">
        <v>-700</v>
      </c>
    </row>
    <row r="284" spans="1:12" x14ac:dyDescent="0.25">
      <c r="A284" s="90" t="s">
        <v>47</v>
      </c>
      <c r="B284" s="90" t="s">
        <v>634</v>
      </c>
      <c r="C284" s="90" t="s">
        <v>635</v>
      </c>
      <c r="D284" s="92">
        <v>6000</v>
      </c>
      <c r="E284" s="92">
        <v>4500</v>
      </c>
      <c r="F284" s="93">
        <v>4005</v>
      </c>
      <c r="G284" s="97">
        <v>89</v>
      </c>
      <c r="H284" s="90" t="s">
        <v>13</v>
      </c>
      <c r="L284" s="92">
        <v>-1500</v>
      </c>
    </row>
    <row r="285" spans="1:12" x14ac:dyDescent="0.25">
      <c r="A285" s="90" t="s">
        <v>47</v>
      </c>
      <c r="B285" s="90" t="s">
        <v>636</v>
      </c>
      <c r="C285" s="90" t="s">
        <v>637</v>
      </c>
      <c r="D285" s="92">
        <v>100</v>
      </c>
      <c r="E285" s="92">
        <v>100</v>
      </c>
      <c r="F285" s="93">
        <v>0</v>
      </c>
      <c r="G285" s="97">
        <v>0</v>
      </c>
      <c r="H285" s="90" t="s">
        <v>13</v>
      </c>
      <c r="L285" s="92">
        <v>0</v>
      </c>
    </row>
    <row r="286" spans="1:12" x14ac:dyDescent="0.25">
      <c r="A286" s="90" t="s">
        <v>47</v>
      </c>
      <c r="B286" s="90" t="s">
        <v>612</v>
      </c>
      <c r="C286" s="90" t="s">
        <v>613</v>
      </c>
      <c r="D286" s="92">
        <v>3000</v>
      </c>
      <c r="E286" s="92">
        <v>400</v>
      </c>
      <c r="F286" s="93">
        <v>0</v>
      </c>
      <c r="G286" s="97">
        <v>0</v>
      </c>
      <c r="H286" s="90" t="s">
        <v>13</v>
      </c>
      <c r="L286" s="92">
        <v>-2600</v>
      </c>
    </row>
    <row r="287" spans="1:12" x14ac:dyDescent="0.25">
      <c r="A287" s="90" t="s">
        <v>47</v>
      </c>
      <c r="B287" s="90" t="s">
        <v>616</v>
      </c>
      <c r="C287" s="90" t="s">
        <v>617</v>
      </c>
      <c r="D287" s="92">
        <v>1500</v>
      </c>
      <c r="E287" s="92">
        <v>1500</v>
      </c>
      <c r="F287" s="93">
        <v>695.64</v>
      </c>
      <c r="G287" s="97">
        <v>46.4</v>
      </c>
      <c r="H287" s="90" t="s">
        <v>13</v>
      </c>
      <c r="L287" s="92">
        <v>0</v>
      </c>
    </row>
    <row r="288" spans="1:12" x14ac:dyDescent="0.25">
      <c r="A288" s="90" t="s">
        <v>47</v>
      </c>
      <c r="B288" s="90" t="s">
        <v>618</v>
      </c>
      <c r="C288" s="90" t="s">
        <v>619</v>
      </c>
      <c r="D288" s="92">
        <v>5368</v>
      </c>
      <c r="E288" s="92">
        <v>9468</v>
      </c>
      <c r="F288" s="93">
        <v>8803.4</v>
      </c>
      <c r="G288" s="97">
        <v>93</v>
      </c>
      <c r="H288" s="90" t="s">
        <v>13</v>
      </c>
      <c r="L288" s="92">
        <v>4100</v>
      </c>
    </row>
    <row r="289" spans="1:12" x14ac:dyDescent="0.25">
      <c r="A289" s="90" t="s">
        <v>47</v>
      </c>
      <c r="B289" s="90" t="s">
        <v>622</v>
      </c>
      <c r="C289" s="90" t="s">
        <v>623</v>
      </c>
      <c r="D289" s="92">
        <v>800</v>
      </c>
      <c r="E289" s="92">
        <v>800</v>
      </c>
      <c r="F289" s="93">
        <v>540.5</v>
      </c>
      <c r="G289" s="97">
        <v>67.599999999999994</v>
      </c>
      <c r="H289" s="90" t="s">
        <v>13</v>
      </c>
      <c r="L289" s="92">
        <v>0</v>
      </c>
    </row>
    <row r="290" spans="1:12" x14ac:dyDescent="0.25">
      <c r="C290" s="91" t="s">
        <v>695</v>
      </c>
      <c r="D290" s="98">
        <f>SUM(D277:D289)</f>
        <v>257953</v>
      </c>
      <c r="E290" s="98">
        <f t="shared" ref="E290:F290" si="17">SUM(E277:E289)</f>
        <v>257953</v>
      </c>
      <c r="F290" s="98">
        <f t="shared" si="17"/>
        <v>264382.20999999996</v>
      </c>
    </row>
    <row r="291" spans="1:12" x14ac:dyDescent="0.25">
      <c r="A291" s="90" t="s">
        <v>49</v>
      </c>
      <c r="B291" s="90" t="s">
        <v>592</v>
      </c>
      <c r="C291" s="90" t="s">
        <v>593</v>
      </c>
      <c r="D291" s="92">
        <v>1530000</v>
      </c>
      <c r="E291" s="92">
        <v>1530000</v>
      </c>
      <c r="F291" s="93">
        <v>1507172.68</v>
      </c>
      <c r="G291" s="97">
        <v>98.5</v>
      </c>
      <c r="H291" s="90" t="s">
        <v>13</v>
      </c>
      <c r="J291" s="24" t="s">
        <v>152</v>
      </c>
      <c r="L291" s="92">
        <v>0</v>
      </c>
    </row>
    <row r="292" spans="1:12" x14ac:dyDescent="0.25">
      <c r="A292" s="90" t="s">
        <v>49</v>
      </c>
      <c r="B292" s="90" t="s">
        <v>594</v>
      </c>
      <c r="C292" s="90" t="s">
        <v>595</v>
      </c>
      <c r="D292" s="92">
        <v>50000</v>
      </c>
      <c r="E292" s="92">
        <v>50000</v>
      </c>
      <c r="F292" s="93">
        <v>32676.48</v>
      </c>
      <c r="G292" s="97">
        <v>65.400000000000006</v>
      </c>
      <c r="H292" s="90" t="s">
        <v>13</v>
      </c>
      <c r="L292" s="92">
        <v>0</v>
      </c>
    </row>
    <row r="293" spans="1:12" x14ac:dyDescent="0.25">
      <c r="A293" s="90" t="s">
        <v>49</v>
      </c>
      <c r="B293" s="90" t="s">
        <v>596</v>
      </c>
      <c r="C293" s="90" t="s">
        <v>597</v>
      </c>
      <c r="D293" s="92">
        <v>94860</v>
      </c>
      <c r="E293" s="92">
        <v>94860</v>
      </c>
      <c r="F293" s="93">
        <v>90874.23</v>
      </c>
      <c r="G293" s="97">
        <v>95.8</v>
      </c>
      <c r="H293" s="90" t="s">
        <v>13</v>
      </c>
      <c r="L293" s="92">
        <v>0</v>
      </c>
    </row>
    <row r="294" spans="1:12" x14ac:dyDescent="0.25">
      <c r="A294" s="90" t="s">
        <v>49</v>
      </c>
      <c r="B294" s="90" t="s">
        <v>598</v>
      </c>
      <c r="C294" s="90" t="s">
        <v>599</v>
      </c>
      <c r="D294" s="92">
        <v>22185</v>
      </c>
      <c r="E294" s="92">
        <v>22185</v>
      </c>
      <c r="F294" s="93">
        <v>21252.84</v>
      </c>
      <c r="G294" s="97">
        <v>95.8</v>
      </c>
      <c r="H294" s="90" t="s">
        <v>13</v>
      </c>
      <c r="L294" s="92">
        <v>0</v>
      </c>
    </row>
    <row r="295" spans="1:12" x14ac:dyDescent="0.25">
      <c r="A295" s="90" t="s">
        <v>49</v>
      </c>
      <c r="B295" s="90" t="s">
        <v>600</v>
      </c>
      <c r="C295" s="90" t="s">
        <v>601</v>
      </c>
      <c r="D295" s="92">
        <v>253368</v>
      </c>
      <c r="E295" s="92">
        <v>253368</v>
      </c>
      <c r="F295" s="93">
        <v>268994.01</v>
      </c>
      <c r="G295" s="97">
        <v>106.2</v>
      </c>
      <c r="H295" s="90" t="s">
        <v>158</v>
      </c>
      <c r="L295" s="92">
        <v>0</v>
      </c>
    </row>
    <row r="296" spans="1:12" x14ac:dyDescent="0.25">
      <c r="A296" s="90" t="s">
        <v>49</v>
      </c>
      <c r="B296" s="90" t="s">
        <v>606</v>
      </c>
      <c r="C296" s="90" t="s">
        <v>607</v>
      </c>
      <c r="D296" s="92">
        <v>10000</v>
      </c>
      <c r="E296" s="92">
        <v>10000</v>
      </c>
      <c r="F296" s="93">
        <v>5857.87</v>
      </c>
      <c r="G296" s="97">
        <v>58.6</v>
      </c>
      <c r="H296" s="90" t="s">
        <v>13</v>
      </c>
      <c r="L296" s="92">
        <v>0</v>
      </c>
    </row>
    <row r="297" spans="1:12" x14ac:dyDescent="0.25">
      <c r="A297" s="90" t="s">
        <v>49</v>
      </c>
      <c r="B297" s="90" t="s">
        <v>608</v>
      </c>
      <c r="C297" s="90" t="s">
        <v>609</v>
      </c>
      <c r="D297" s="92">
        <v>15000</v>
      </c>
      <c r="E297" s="92">
        <v>15000</v>
      </c>
      <c r="F297" s="93">
        <v>11218.44</v>
      </c>
      <c r="G297" s="97">
        <v>74.8</v>
      </c>
      <c r="H297" s="90" t="s">
        <v>13</v>
      </c>
      <c r="L297" s="92">
        <v>0</v>
      </c>
    </row>
    <row r="298" spans="1:12" x14ac:dyDescent="0.25">
      <c r="A298" s="90" t="s">
        <v>49</v>
      </c>
      <c r="B298" s="90" t="s">
        <v>674</v>
      </c>
      <c r="C298" s="90" t="s">
        <v>675</v>
      </c>
      <c r="D298" s="92">
        <v>2815</v>
      </c>
      <c r="E298" s="92">
        <v>2815</v>
      </c>
      <c r="F298" s="93">
        <v>2432.34</v>
      </c>
      <c r="G298" s="97">
        <v>86.4</v>
      </c>
      <c r="H298" s="90" t="s">
        <v>13</v>
      </c>
      <c r="L298" s="92">
        <v>0</v>
      </c>
    </row>
    <row r="299" spans="1:12" x14ac:dyDescent="0.25">
      <c r="A299" s="90" t="s">
        <v>49</v>
      </c>
      <c r="B299" s="90" t="s">
        <v>610</v>
      </c>
      <c r="C299" s="90" t="s">
        <v>611</v>
      </c>
      <c r="D299" s="92">
        <v>5635</v>
      </c>
      <c r="E299" s="92">
        <v>5635</v>
      </c>
      <c r="F299" s="93">
        <v>2986.23</v>
      </c>
      <c r="G299" s="97">
        <v>53</v>
      </c>
      <c r="H299" s="90" t="s">
        <v>13</v>
      </c>
      <c r="L299" s="92">
        <v>0</v>
      </c>
    </row>
    <row r="300" spans="1:12" x14ac:dyDescent="0.25">
      <c r="A300" s="90" t="s">
        <v>49</v>
      </c>
      <c r="B300" s="90" t="s">
        <v>612</v>
      </c>
      <c r="C300" s="90" t="s">
        <v>613</v>
      </c>
      <c r="D300" s="92">
        <v>200000</v>
      </c>
      <c r="E300" s="92">
        <v>200000</v>
      </c>
      <c r="F300" s="93">
        <v>140309.47</v>
      </c>
      <c r="G300" s="97">
        <v>70.2</v>
      </c>
      <c r="H300" s="90" t="s">
        <v>13</v>
      </c>
      <c r="L300" s="92">
        <v>0</v>
      </c>
    </row>
    <row r="301" spans="1:12" x14ac:dyDescent="0.25">
      <c r="A301" s="90" t="s">
        <v>49</v>
      </c>
      <c r="B301" s="90" t="s">
        <v>696</v>
      </c>
      <c r="C301" s="90" t="s">
        <v>697</v>
      </c>
      <c r="D301" s="92">
        <v>0</v>
      </c>
      <c r="E301" s="92">
        <v>0</v>
      </c>
      <c r="F301" s="93">
        <v>74.95</v>
      </c>
      <c r="G301" s="97">
        <v>100</v>
      </c>
      <c r="H301" s="90" t="s">
        <v>158</v>
      </c>
      <c r="L301" s="92">
        <v>0</v>
      </c>
    </row>
    <row r="302" spans="1:12" x14ac:dyDescent="0.25">
      <c r="A302" s="90" t="s">
        <v>49</v>
      </c>
      <c r="B302" s="90" t="s">
        <v>616</v>
      </c>
      <c r="C302" s="90" t="s">
        <v>617</v>
      </c>
      <c r="D302" s="92">
        <v>37551</v>
      </c>
      <c r="E302" s="92">
        <v>37551</v>
      </c>
      <c r="F302" s="93">
        <v>59362.63</v>
      </c>
      <c r="G302" s="97">
        <v>158.1</v>
      </c>
      <c r="H302" s="90" t="s">
        <v>158</v>
      </c>
      <c r="L302" s="92">
        <v>0</v>
      </c>
    </row>
    <row r="303" spans="1:12" x14ac:dyDescent="0.25">
      <c r="A303" s="90" t="s">
        <v>49</v>
      </c>
      <c r="B303" s="90" t="s">
        <v>618</v>
      </c>
      <c r="C303" s="90" t="s">
        <v>619</v>
      </c>
      <c r="D303" s="92">
        <v>20000</v>
      </c>
      <c r="E303" s="92">
        <v>20000</v>
      </c>
      <c r="F303" s="93">
        <v>18525.150000000001</v>
      </c>
      <c r="G303" s="97">
        <v>92.6</v>
      </c>
      <c r="H303" s="90" t="s">
        <v>13</v>
      </c>
      <c r="L303" s="92">
        <v>0</v>
      </c>
    </row>
    <row r="304" spans="1:12" x14ac:dyDescent="0.25">
      <c r="A304" s="90" t="s">
        <v>49</v>
      </c>
      <c r="B304" s="90" t="s">
        <v>622</v>
      </c>
      <c r="C304" s="90" t="s">
        <v>623</v>
      </c>
      <c r="D304" s="92">
        <v>16500</v>
      </c>
      <c r="E304" s="92">
        <v>16500</v>
      </c>
      <c r="F304" s="93">
        <v>15006.57</v>
      </c>
      <c r="G304" s="97">
        <v>90.9</v>
      </c>
      <c r="H304" s="90" t="s">
        <v>13</v>
      </c>
      <c r="L304" s="92">
        <v>0</v>
      </c>
    </row>
    <row r="305" spans="1:12" x14ac:dyDescent="0.25">
      <c r="A305" s="90" t="s">
        <v>49</v>
      </c>
      <c r="B305" s="90" t="s">
        <v>663</v>
      </c>
      <c r="C305" s="90" t="s">
        <v>664</v>
      </c>
      <c r="D305" s="92">
        <v>1500</v>
      </c>
      <c r="E305" s="92">
        <v>1500</v>
      </c>
      <c r="F305" s="93">
        <v>341.29</v>
      </c>
      <c r="G305" s="97">
        <v>22.8</v>
      </c>
      <c r="H305" s="90" t="s">
        <v>13</v>
      </c>
      <c r="L305" s="92">
        <v>0</v>
      </c>
    </row>
    <row r="306" spans="1:12" x14ac:dyDescent="0.25">
      <c r="A306" s="90" t="s">
        <v>49</v>
      </c>
      <c r="B306" s="90" t="s">
        <v>624</v>
      </c>
      <c r="C306" s="90" t="s">
        <v>625</v>
      </c>
      <c r="D306" s="92">
        <v>2000</v>
      </c>
      <c r="E306" s="92">
        <v>2000</v>
      </c>
      <c r="F306" s="93">
        <v>0</v>
      </c>
      <c r="G306" s="97">
        <v>0</v>
      </c>
      <c r="H306" s="90" t="s">
        <v>13</v>
      </c>
      <c r="L306" s="92">
        <v>0</v>
      </c>
    </row>
    <row r="307" spans="1:12" x14ac:dyDescent="0.25">
      <c r="C307" s="91" t="s">
        <v>698</v>
      </c>
      <c r="D307" s="98">
        <f>SUM(D291:D306)</f>
        <v>2261414</v>
      </c>
      <c r="E307" s="98">
        <f t="shared" ref="E307:F307" si="18">SUM(E291:E306)</f>
        <v>2261414</v>
      </c>
      <c r="F307" s="98">
        <f t="shared" si="18"/>
        <v>2177085.1799999997</v>
      </c>
    </row>
    <row r="308" spans="1:12" x14ac:dyDescent="0.25">
      <c r="A308" s="90" t="s">
        <v>51</v>
      </c>
      <c r="B308" s="90" t="s">
        <v>592</v>
      </c>
      <c r="C308" s="90" t="s">
        <v>593</v>
      </c>
      <c r="D308" s="92">
        <v>357922</v>
      </c>
      <c r="E308" s="92">
        <v>323922</v>
      </c>
      <c r="F308" s="93">
        <v>320520.82</v>
      </c>
      <c r="G308" s="97">
        <v>99</v>
      </c>
      <c r="H308" s="90" t="s">
        <v>13</v>
      </c>
      <c r="L308" s="92">
        <v>-34000</v>
      </c>
    </row>
    <row r="309" spans="1:12" x14ac:dyDescent="0.25">
      <c r="A309" s="90" t="s">
        <v>51</v>
      </c>
      <c r="B309" s="90" t="s">
        <v>594</v>
      </c>
      <c r="C309" s="90" t="s">
        <v>595</v>
      </c>
      <c r="D309" s="92">
        <v>5000</v>
      </c>
      <c r="E309" s="92">
        <v>14000</v>
      </c>
      <c r="F309" s="93">
        <v>9564.24</v>
      </c>
      <c r="G309" s="97">
        <v>68.3</v>
      </c>
      <c r="H309" s="90" t="s">
        <v>13</v>
      </c>
      <c r="J309" s="24" t="s">
        <v>152</v>
      </c>
      <c r="L309" s="92">
        <v>9000</v>
      </c>
    </row>
    <row r="310" spans="1:12" x14ac:dyDescent="0.25">
      <c r="A310" s="90" t="s">
        <v>51</v>
      </c>
      <c r="B310" s="90" t="s">
        <v>596</v>
      </c>
      <c r="C310" s="90" t="s">
        <v>597</v>
      </c>
      <c r="D310" s="92">
        <v>22501</v>
      </c>
      <c r="E310" s="92">
        <v>22501</v>
      </c>
      <c r="F310" s="93">
        <v>19382.599999999999</v>
      </c>
      <c r="G310" s="97">
        <v>86.1</v>
      </c>
      <c r="H310" s="90" t="s">
        <v>13</v>
      </c>
      <c r="L310" s="92">
        <v>0</v>
      </c>
    </row>
    <row r="311" spans="1:12" x14ac:dyDescent="0.25">
      <c r="A311" s="90" t="s">
        <v>51</v>
      </c>
      <c r="B311" s="90" t="s">
        <v>598</v>
      </c>
      <c r="C311" s="90" t="s">
        <v>599</v>
      </c>
      <c r="D311" s="92">
        <v>5262</v>
      </c>
      <c r="E311" s="92">
        <v>5262</v>
      </c>
      <c r="F311" s="93">
        <v>4533.0200000000004</v>
      </c>
      <c r="G311" s="97">
        <v>86.1</v>
      </c>
      <c r="H311" s="90" t="s">
        <v>13</v>
      </c>
      <c r="L311" s="92">
        <v>0</v>
      </c>
    </row>
    <row r="312" spans="1:12" x14ac:dyDescent="0.25">
      <c r="A312" s="90" t="s">
        <v>51</v>
      </c>
      <c r="B312" s="90" t="s">
        <v>600</v>
      </c>
      <c r="C312" s="90" t="s">
        <v>601</v>
      </c>
      <c r="D312" s="92">
        <v>60100</v>
      </c>
      <c r="E312" s="92">
        <v>60100</v>
      </c>
      <c r="F312" s="93">
        <v>57513.71</v>
      </c>
      <c r="G312" s="97">
        <v>95.7</v>
      </c>
      <c r="H312" s="90" t="s">
        <v>13</v>
      </c>
      <c r="L312" s="92">
        <v>0</v>
      </c>
    </row>
    <row r="313" spans="1:12" x14ac:dyDescent="0.25">
      <c r="A313" s="90" t="s">
        <v>51</v>
      </c>
      <c r="B313" s="90" t="s">
        <v>606</v>
      </c>
      <c r="C313" s="90" t="s">
        <v>607</v>
      </c>
      <c r="D313" s="92">
        <v>1500</v>
      </c>
      <c r="E313" s="92">
        <v>1370</v>
      </c>
      <c r="F313" s="93">
        <v>874.98</v>
      </c>
      <c r="G313" s="97">
        <v>63.9</v>
      </c>
      <c r="H313" s="90" t="s">
        <v>13</v>
      </c>
      <c r="L313" s="92">
        <v>-130</v>
      </c>
    </row>
    <row r="314" spans="1:12" x14ac:dyDescent="0.25">
      <c r="A314" s="90" t="s">
        <v>51</v>
      </c>
      <c r="B314" s="90" t="s">
        <v>608</v>
      </c>
      <c r="C314" s="90" t="s">
        <v>609</v>
      </c>
      <c r="D314" s="92">
        <v>1700</v>
      </c>
      <c r="E314" s="92">
        <v>1830</v>
      </c>
      <c r="F314" s="93">
        <v>1827.3</v>
      </c>
      <c r="G314" s="97">
        <v>99.9</v>
      </c>
      <c r="H314" s="90" t="s">
        <v>13</v>
      </c>
      <c r="L314" s="92">
        <v>130</v>
      </c>
    </row>
    <row r="315" spans="1:12" x14ac:dyDescent="0.25">
      <c r="A315" s="90" t="s">
        <v>51</v>
      </c>
      <c r="B315" s="90" t="s">
        <v>636</v>
      </c>
      <c r="C315" s="90" t="s">
        <v>637</v>
      </c>
      <c r="D315" s="92">
        <v>5700</v>
      </c>
      <c r="E315" s="92">
        <v>5700</v>
      </c>
      <c r="F315" s="93">
        <v>2564</v>
      </c>
      <c r="G315" s="97">
        <v>45</v>
      </c>
      <c r="H315" s="90" t="s">
        <v>13</v>
      </c>
      <c r="L315" s="92">
        <v>0</v>
      </c>
    </row>
    <row r="316" spans="1:12" x14ac:dyDescent="0.25">
      <c r="A316" s="90" t="s">
        <v>51</v>
      </c>
      <c r="B316" s="90" t="s">
        <v>610</v>
      </c>
      <c r="C316" s="90" t="s">
        <v>611</v>
      </c>
      <c r="D316" s="92">
        <v>2000</v>
      </c>
      <c r="E316" s="92">
        <v>2000</v>
      </c>
      <c r="F316" s="93">
        <v>607.55999999999995</v>
      </c>
      <c r="G316" s="97">
        <v>30.4</v>
      </c>
      <c r="H316" s="90" t="s">
        <v>13</v>
      </c>
      <c r="L316" s="92">
        <v>0</v>
      </c>
    </row>
    <row r="317" spans="1:12" x14ac:dyDescent="0.25">
      <c r="A317" s="90" t="s">
        <v>51</v>
      </c>
      <c r="B317" s="90" t="s">
        <v>616</v>
      </c>
      <c r="C317" s="90" t="s">
        <v>617</v>
      </c>
      <c r="D317" s="92">
        <v>1000</v>
      </c>
      <c r="E317" s="92">
        <v>1000</v>
      </c>
      <c r="F317" s="93">
        <v>150</v>
      </c>
      <c r="G317" s="97">
        <v>15</v>
      </c>
      <c r="H317" s="90" t="s">
        <v>13</v>
      </c>
      <c r="L317" s="92">
        <v>0</v>
      </c>
    </row>
    <row r="318" spans="1:12" x14ac:dyDescent="0.25">
      <c r="A318" s="90" t="s">
        <v>51</v>
      </c>
      <c r="B318" s="90" t="s">
        <v>618</v>
      </c>
      <c r="C318" s="90" t="s">
        <v>619</v>
      </c>
      <c r="D318" s="92">
        <v>3000</v>
      </c>
      <c r="E318" s="92">
        <v>3000</v>
      </c>
      <c r="F318" s="93">
        <v>1857.4</v>
      </c>
      <c r="G318" s="97">
        <v>61.9</v>
      </c>
      <c r="H318" s="90" t="s">
        <v>13</v>
      </c>
      <c r="L318" s="92">
        <v>0</v>
      </c>
    </row>
    <row r="319" spans="1:12" x14ac:dyDescent="0.25">
      <c r="A319" s="90" t="s">
        <v>51</v>
      </c>
      <c r="B319" s="90" t="s">
        <v>638</v>
      </c>
      <c r="C319" s="90" t="s">
        <v>639</v>
      </c>
      <c r="D319" s="92">
        <v>350</v>
      </c>
      <c r="E319" s="92">
        <v>350</v>
      </c>
      <c r="F319" s="93">
        <v>0</v>
      </c>
      <c r="G319" s="97">
        <v>0</v>
      </c>
      <c r="H319" s="90" t="s">
        <v>13</v>
      </c>
      <c r="L319" s="92">
        <v>0</v>
      </c>
    </row>
    <row r="320" spans="1:12" x14ac:dyDescent="0.25">
      <c r="A320" s="90" t="s">
        <v>51</v>
      </c>
      <c r="B320" s="90" t="s">
        <v>622</v>
      </c>
      <c r="C320" s="90" t="s">
        <v>623</v>
      </c>
      <c r="D320" s="92">
        <v>11500</v>
      </c>
      <c r="E320" s="92">
        <v>11500</v>
      </c>
      <c r="F320" s="93">
        <v>11309.73</v>
      </c>
      <c r="G320" s="97">
        <v>98.3</v>
      </c>
      <c r="H320" s="90" t="s">
        <v>13</v>
      </c>
      <c r="L320" s="92">
        <v>0</v>
      </c>
    </row>
    <row r="321" spans="1:12" x14ac:dyDescent="0.25">
      <c r="A321" s="90" t="s">
        <v>51</v>
      </c>
      <c r="B321" s="90" t="s">
        <v>646</v>
      </c>
      <c r="C321" s="90" t="s">
        <v>647</v>
      </c>
      <c r="D321" s="92">
        <v>0</v>
      </c>
      <c r="E321" s="92">
        <v>25000</v>
      </c>
      <c r="F321" s="93">
        <v>0</v>
      </c>
      <c r="G321" s="97">
        <v>0</v>
      </c>
      <c r="H321" s="90" t="s">
        <v>13</v>
      </c>
      <c r="L321" s="92">
        <v>25000</v>
      </c>
    </row>
    <row r="322" spans="1:12" x14ac:dyDescent="0.25">
      <c r="C322" s="91" t="s">
        <v>699</v>
      </c>
      <c r="D322" s="98">
        <f>SUM(D308:D321)</f>
        <v>477535</v>
      </c>
      <c r="E322" s="98">
        <f t="shared" ref="E322:F322" si="19">SUM(E308:E321)</f>
        <v>477535</v>
      </c>
      <c r="F322" s="98">
        <f t="shared" si="19"/>
        <v>430705.36</v>
      </c>
    </row>
    <row r="323" spans="1:12" x14ac:dyDescent="0.25">
      <c r="A323" s="90" t="s">
        <v>53</v>
      </c>
      <c r="B323" s="90" t="s">
        <v>592</v>
      </c>
      <c r="C323" s="90" t="s">
        <v>593</v>
      </c>
      <c r="D323" s="92">
        <v>821825</v>
      </c>
      <c r="E323" s="92">
        <v>821825</v>
      </c>
      <c r="F323" s="93">
        <v>791561.57</v>
      </c>
      <c r="G323" s="97">
        <v>96.3</v>
      </c>
      <c r="H323" s="90" t="s">
        <v>13</v>
      </c>
      <c r="L323" s="92">
        <v>0</v>
      </c>
    </row>
    <row r="324" spans="1:12" x14ac:dyDescent="0.25">
      <c r="A324" s="90" t="s">
        <v>53</v>
      </c>
      <c r="B324" s="90" t="s">
        <v>596</v>
      </c>
      <c r="C324" s="90" t="s">
        <v>597</v>
      </c>
      <c r="D324" s="92">
        <v>50953</v>
      </c>
      <c r="E324" s="92">
        <v>50953</v>
      </c>
      <c r="F324" s="93">
        <v>48300.61</v>
      </c>
      <c r="G324" s="97">
        <v>94.8</v>
      </c>
      <c r="H324" s="90" t="s">
        <v>13</v>
      </c>
      <c r="L324" s="92">
        <v>0</v>
      </c>
    </row>
    <row r="325" spans="1:12" x14ac:dyDescent="0.25">
      <c r="A325" s="90" t="s">
        <v>53</v>
      </c>
      <c r="B325" s="90" t="s">
        <v>598</v>
      </c>
      <c r="C325" s="90" t="s">
        <v>599</v>
      </c>
      <c r="D325" s="92">
        <v>11916</v>
      </c>
      <c r="E325" s="92">
        <v>11916</v>
      </c>
      <c r="F325" s="93">
        <v>11296.05</v>
      </c>
      <c r="G325" s="97">
        <v>94.8</v>
      </c>
      <c r="H325" s="90" t="s">
        <v>13</v>
      </c>
      <c r="J325" s="24" t="s">
        <v>152</v>
      </c>
      <c r="L325" s="92">
        <v>0</v>
      </c>
    </row>
    <row r="326" spans="1:12" x14ac:dyDescent="0.25">
      <c r="A326" s="90" t="s">
        <v>53</v>
      </c>
      <c r="B326" s="90" t="s">
        <v>600</v>
      </c>
      <c r="C326" s="90" t="s">
        <v>601</v>
      </c>
      <c r="D326" s="92">
        <v>136094</v>
      </c>
      <c r="E326" s="92">
        <v>136094</v>
      </c>
      <c r="F326" s="93">
        <v>137009.65</v>
      </c>
      <c r="G326" s="97">
        <v>100.7</v>
      </c>
      <c r="H326" s="90" t="s">
        <v>158</v>
      </c>
      <c r="L326" s="92">
        <v>0</v>
      </c>
    </row>
    <row r="327" spans="1:12" x14ac:dyDescent="0.25">
      <c r="A327" s="90" t="s">
        <v>53</v>
      </c>
      <c r="B327" s="90" t="s">
        <v>604</v>
      </c>
      <c r="C327" s="90" t="s">
        <v>605</v>
      </c>
      <c r="D327" s="92">
        <v>3500</v>
      </c>
      <c r="E327" s="92">
        <v>3500</v>
      </c>
      <c r="F327" s="93">
        <v>1914.04</v>
      </c>
      <c r="G327" s="97">
        <v>54.7</v>
      </c>
      <c r="H327" s="90" t="s">
        <v>13</v>
      </c>
      <c r="J327" s="24" t="s">
        <v>152</v>
      </c>
      <c r="L327" s="92">
        <v>0</v>
      </c>
    </row>
    <row r="328" spans="1:12" x14ac:dyDescent="0.25">
      <c r="A328" s="90" t="s">
        <v>53</v>
      </c>
      <c r="B328" s="90" t="s">
        <v>606</v>
      </c>
      <c r="C328" s="90" t="s">
        <v>607</v>
      </c>
      <c r="D328" s="92">
        <v>3200</v>
      </c>
      <c r="E328" s="92">
        <v>3200</v>
      </c>
      <c r="F328" s="93">
        <v>2405.27</v>
      </c>
      <c r="G328" s="97">
        <v>75.2</v>
      </c>
      <c r="H328" s="90" t="s">
        <v>13</v>
      </c>
      <c r="L328" s="92">
        <v>0</v>
      </c>
    </row>
    <row r="329" spans="1:12" x14ac:dyDescent="0.25">
      <c r="A329" s="90" t="s">
        <v>53</v>
      </c>
      <c r="B329" s="90" t="s">
        <v>608</v>
      </c>
      <c r="C329" s="90" t="s">
        <v>609</v>
      </c>
      <c r="D329" s="92">
        <v>2000</v>
      </c>
      <c r="E329" s="92">
        <v>2000</v>
      </c>
      <c r="F329" s="93">
        <v>2284.75</v>
      </c>
      <c r="G329" s="97">
        <v>114.2</v>
      </c>
      <c r="H329" s="90" t="s">
        <v>158</v>
      </c>
      <c r="L329" s="92">
        <v>0</v>
      </c>
    </row>
    <row r="330" spans="1:12" x14ac:dyDescent="0.25">
      <c r="A330" s="90" t="s">
        <v>53</v>
      </c>
      <c r="B330" s="90" t="s">
        <v>634</v>
      </c>
      <c r="C330" s="90" t="s">
        <v>635</v>
      </c>
      <c r="D330" s="92">
        <v>44000</v>
      </c>
      <c r="E330" s="92">
        <v>44000</v>
      </c>
      <c r="F330" s="93">
        <v>0</v>
      </c>
      <c r="G330" s="97">
        <v>0</v>
      </c>
      <c r="H330" s="90" t="s">
        <v>13</v>
      </c>
      <c r="L330" s="92">
        <v>0</v>
      </c>
    </row>
    <row r="331" spans="1:12" x14ac:dyDescent="0.25">
      <c r="A331" s="90" t="s">
        <v>53</v>
      </c>
      <c r="B331" s="90" t="s">
        <v>610</v>
      </c>
      <c r="C331" s="90" t="s">
        <v>611</v>
      </c>
      <c r="D331" s="92">
        <v>1500</v>
      </c>
      <c r="E331" s="92">
        <v>1500</v>
      </c>
      <c r="F331" s="93">
        <v>695.64</v>
      </c>
      <c r="G331" s="97">
        <v>46.4</v>
      </c>
      <c r="H331" s="90" t="s">
        <v>13</v>
      </c>
      <c r="L331" s="92">
        <v>0</v>
      </c>
    </row>
    <row r="332" spans="1:12" x14ac:dyDescent="0.25">
      <c r="A332" s="90" t="s">
        <v>53</v>
      </c>
      <c r="B332" s="90" t="s">
        <v>612</v>
      </c>
      <c r="C332" s="90" t="s">
        <v>613</v>
      </c>
      <c r="D332" s="92">
        <v>72000</v>
      </c>
      <c r="E332" s="92">
        <v>51500</v>
      </c>
      <c r="F332" s="93">
        <v>7751.65</v>
      </c>
      <c r="G332" s="97">
        <v>15.1</v>
      </c>
      <c r="H332" s="90" t="s">
        <v>13</v>
      </c>
      <c r="L332" s="92">
        <v>-20500</v>
      </c>
    </row>
    <row r="333" spans="1:12" x14ac:dyDescent="0.25">
      <c r="A333" s="90" t="s">
        <v>53</v>
      </c>
      <c r="B333" s="90" t="s">
        <v>682</v>
      </c>
      <c r="C333" s="90" t="s">
        <v>683</v>
      </c>
      <c r="D333" s="92">
        <v>26500</v>
      </c>
      <c r="E333" s="92">
        <v>16500</v>
      </c>
      <c r="F333" s="93">
        <v>0</v>
      </c>
      <c r="G333" s="97">
        <v>0</v>
      </c>
      <c r="H333" s="90" t="s">
        <v>13</v>
      </c>
      <c r="L333" s="92">
        <v>-10000</v>
      </c>
    </row>
    <row r="334" spans="1:12" x14ac:dyDescent="0.25">
      <c r="A334" s="90" t="s">
        <v>53</v>
      </c>
      <c r="B334" s="90" t="s">
        <v>631</v>
      </c>
      <c r="C334" s="90" t="s">
        <v>632</v>
      </c>
      <c r="D334" s="92">
        <v>100</v>
      </c>
      <c r="E334" s="92">
        <v>100</v>
      </c>
      <c r="F334" s="93">
        <v>0</v>
      </c>
      <c r="G334" s="97">
        <v>0</v>
      </c>
      <c r="H334" s="90" t="s">
        <v>13</v>
      </c>
      <c r="L334" s="92">
        <v>0</v>
      </c>
    </row>
    <row r="335" spans="1:12" x14ac:dyDescent="0.25">
      <c r="A335" s="90" t="s">
        <v>53</v>
      </c>
      <c r="B335" s="90" t="s">
        <v>616</v>
      </c>
      <c r="C335" s="90" t="s">
        <v>617</v>
      </c>
      <c r="D335" s="92">
        <v>5058</v>
      </c>
      <c r="E335" s="92">
        <v>5058</v>
      </c>
      <c r="F335" s="93">
        <v>2128.79</v>
      </c>
      <c r="G335" s="97">
        <v>42.1</v>
      </c>
      <c r="H335" s="90" t="s">
        <v>13</v>
      </c>
      <c r="L335" s="92">
        <v>0</v>
      </c>
    </row>
    <row r="336" spans="1:12" x14ac:dyDescent="0.25">
      <c r="A336" s="90" t="s">
        <v>53</v>
      </c>
      <c r="B336" s="90" t="s">
        <v>618</v>
      </c>
      <c r="C336" s="90" t="s">
        <v>619</v>
      </c>
      <c r="D336" s="92">
        <v>9600</v>
      </c>
      <c r="E336" s="92">
        <v>19600</v>
      </c>
      <c r="F336" s="93">
        <v>11500.21</v>
      </c>
      <c r="G336" s="97">
        <v>58.7</v>
      </c>
      <c r="H336" s="90" t="s">
        <v>13</v>
      </c>
      <c r="L336" s="92">
        <v>10000</v>
      </c>
    </row>
    <row r="337" spans="1:12" x14ac:dyDescent="0.25">
      <c r="A337" s="90" t="s">
        <v>53</v>
      </c>
      <c r="B337" s="90" t="s">
        <v>622</v>
      </c>
      <c r="C337" s="90" t="s">
        <v>623</v>
      </c>
      <c r="D337" s="92">
        <v>8500</v>
      </c>
      <c r="E337" s="92">
        <v>18500</v>
      </c>
      <c r="F337" s="93">
        <v>15596.07</v>
      </c>
      <c r="G337" s="97">
        <v>84.3</v>
      </c>
      <c r="H337" s="90" t="s">
        <v>13</v>
      </c>
      <c r="L337" s="92">
        <v>10000</v>
      </c>
    </row>
    <row r="338" spans="1:12" x14ac:dyDescent="0.25">
      <c r="A338" s="90" t="s">
        <v>53</v>
      </c>
      <c r="B338" s="90" t="s">
        <v>624</v>
      </c>
      <c r="C338" s="90" t="s">
        <v>625</v>
      </c>
      <c r="D338" s="92">
        <v>5750</v>
      </c>
      <c r="E338" s="92">
        <v>16250</v>
      </c>
      <c r="F338" s="93">
        <v>5983.22</v>
      </c>
      <c r="G338" s="97">
        <v>36.799999999999997</v>
      </c>
      <c r="H338" s="90" t="s">
        <v>13</v>
      </c>
      <c r="L338" s="92">
        <v>10500</v>
      </c>
    </row>
    <row r="339" spans="1:12" x14ac:dyDescent="0.25">
      <c r="C339" s="91" t="s">
        <v>700</v>
      </c>
      <c r="D339" s="98">
        <f>SUM(D323:D338)</f>
        <v>1202496</v>
      </c>
      <c r="E339" s="98">
        <f t="shared" ref="E339:F339" si="20">SUM(E323:E338)</f>
        <v>1202496</v>
      </c>
      <c r="F339" s="98">
        <f t="shared" si="20"/>
        <v>1038427.52</v>
      </c>
    </row>
    <row r="340" spans="1:12" x14ac:dyDescent="0.25">
      <c r="A340" s="90" t="s">
        <v>55</v>
      </c>
      <c r="B340" s="90" t="s">
        <v>610</v>
      </c>
      <c r="C340" s="90" t="s">
        <v>611</v>
      </c>
      <c r="D340" s="92">
        <v>2400</v>
      </c>
      <c r="E340" s="92">
        <v>456.84</v>
      </c>
      <c r="F340" s="93">
        <v>1142.0999999999999</v>
      </c>
      <c r="G340" s="97">
        <v>250</v>
      </c>
      <c r="H340" s="90" t="s">
        <v>158</v>
      </c>
      <c r="L340" s="92">
        <v>-1943.16</v>
      </c>
    </row>
    <row r="341" spans="1:12" x14ac:dyDescent="0.25">
      <c r="C341" s="91" t="s">
        <v>701</v>
      </c>
      <c r="D341" s="98">
        <f>SUM(D340)</f>
        <v>2400</v>
      </c>
      <c r="E341" s="98">
        <f t="shared" ref="E341:F341" si="21">SUM(E340)</f>
        <v>456.84</v>
      </c>
      <c r="F341" s="98">
        <f t="shared" si="21"/>
        <v>1142.0999999999999</v>
      </c>
    </row>
    <row r="342" spans="1:12" x14ac:dyDescent="0.25">
      <c r="A342" s="90" t="s">
        <v>56</v>
      </c>
      <c r="B342" s="90" t="s">
        <v>702</v>
      </c>
      <c r="C342" s="90" t="s">
        <v>703</v>
      </c>
      <c r="D342" s="92">
        <v>13500</v>
      </c>
      <c r="E342" s="92">
        <v>13500</v>
      </c>
      <c r="F342" s="93">
        <v>9668.4699999999993</v>
      </c>
      <c r="G342" s="97">
        <v>71.599999999999994</v>
      </c>
      <c r="H342" s="90" t="s">
        <v>13</v>
      </c>
      <c r="L342" s="92">
        <v>0</v>
      </c>
    </row>
    <row r="343" spans="1:12" x14ac:dyDescent="0.25">
      <c r="A343" s="90" t="s">
        <v>56</v>
      </c>
      <c r="B343" s="90" t="s">
        <v>592</v>
      </c>
      <c r="C343" s="90" t="s">
        <v>593</v>
      </c>
      <c r="D343" s="92">
        <v>570766</v>
      </c>
      <c r="E343" s="92">
        <v>570766</v>
      </c>
      <c r="F343" s="93">
        <v>592903.17000000004</v>
      </c>
      <c r="G343" s="97">
        <v>103.9</v>
      </c>
      <c r="H343" s="90" t="s">
        <v>158</v>
      </c>
      <c r="L343" s="92">
        <v>0</v>
      </c>
    </row>
    <row r="344" spans="1:12" x14ac:dyDescent="0.25">
      <c r="A344" s="90" t="s">
        <v>56</v>
      </c>
      <c r="B344" s="90" t="s">
        <v>704</v>
      </c>
      <c r="C344" s="90" t="s">
        <v>705</v>
      </c>
      <c r="D344" s="92">
        <v>205000</v>
      </c>
      <c r="E344" s="92">
        <v>85000</v>
      </c>
      <c r="F344" s="93">
        <v>11031.46</v>
      </c>
      <c r="G344" s="97">
        <v>13</v>
      </c>
      <c r="H344" s="90" t="s">
        <v>13</v>
      </c>
      <c r="L344" s="92">
        <v>-120000</v>
      </c>
    </row>
    <row r="345" spans="1:12" x14ac:dyDescent="0.25">
      <c r="A345" s="90" t="s">
        <v>56</v>
      </c>
      <c r="B345" s="90" t="s">
        <v>594</v>
      </c>
      <c r="C345" s="90" t="s">
        <v>595</v>
      </c>
      <c r="D345" s="92">
        <v>45000</v>
      </c>
      <c r="E345" s="92">
        <v>45000</v>
      </c>
      <c r="F345" s="93">
        <v>34770.129999999997</v>
      </c>
      <c r="G345" s="97">
        <v>77.3</v>
      </c>
      <c r="H345" s="90" t="s">
        <v>13</v>
      </c>
      <c r="L345" s="92">
        <v>0</v>
      </c>
    </row>
    <row r="346" spans="1:12" x14ac:dyDescent="0.25">
      <c r="A346" s="90" t="s">
        <v>56</v>
      </c>
      <c r="B346" s="90" t="s">
        <v>596</v>
      </c>
      <c r="C346" s="90" t="s">
        <v>597</v>
      </c>
      <c r="D346" s="92">
        <v>51725</v>
      </c>
      <c r="E346" s="92">
        <v>51725</v>
      </c>
      <c r="F346" s="93">
        <v>38431.46</v>
      </c>
      <c r="G346" s="97">
        <v>74.3</v>
      </c>
      <c r="H346" s="90" t="s">
        <v>13</v>
      </c>
      <c r="L346" s="92">
        <v>0</v>
      </c>
    </row>
    <row r="347" spans="1:12" x14ac:dyDescent="0.25">
      <c r="A347" s="90" t="s">
        <v>56</v>
      </c>
      <c r="B347" s="90" t="s">
        <v>598</v>
      </c>
      <c r="C347" s="90" t="s">
        <v>599</v>
      </c>
      <c r="D347" s="92">
        <v>12097</v>
      </c>
      <c r="E347" s="92">
        <v>12097</v>
      </c>
      <c r="F347" s="93">
        <v>8987.94</v>
      </c>
      <c r="G347" s="97">
        <v>74.3</v>
      </c>
      <c r="H347" s="90" t="s">
        <v>13</v>
      </c>
      <c r="L347" s="92">
        <v>0</v>
      </c>
    </row>
    <row r="348" spans="1:12" x14ac:dyDescent="0.25">
      <c r="A348" s="90" t="s">
        <v>56</v>
      </c>
      <c r="B348" s="90" t="s">
        <v>600</v>
      </c>
      <c r="C348" s="90" t="s">
        <v>601</v>
      </c>
      <c r="D348" s="92">
        <v>138155</v>
      </c>
      <c r="E348" s="92">
        <v>138155</v>
      </c>
      <c r="F348" s="93">
        <v>113696.08</v>
      </c>
      <c r="G348" s="97">
        <v>82.3</v>
      </c>
      <c r="H348" s="90" t="s">
        <v>13</v>
      </c>
      <c r="L348" s="92">
        <v>0</v>
      </c>
    </row>
    <row r="349" spans="1:12" x14ac:dyDescent="0.25">
      <c r="A349" s="90" t="s">
        <v>56</v>
      </c>
      <c r="B349" s="90" t="s">
        <v>602</v>
      </c>
      <c r="C349" s="90" t="s">
        <v>603</v>
      </c>
      <c r="D349" s="92">
        <v>0</v>
      </c>
      <c r="E349" s="92">
        <v>0</v>
      </c>
      <c r="F349" s="93">
        <v>27.32</v>
      </c>
      <c r="G349" s="97">
        <v>100</v>
      </c>
      <c r="H349" s="90" t="s">
        <v>158</v>
      </c>
      <c r="L349" s="92">
        <v>0</v>
      </c>
    </row>
    <row r="350" spans="1:12" x14ac:dyDescent="0.25">
      <c r="A350" s="90" t="s">
        <v>56</v>
      </c>
      <c r="B350" s="90" t="s">
        <v>604</v>
      </c>
      <c r="C350" s="90" t="s">
        <v>605</v>
      </c>
      <c r="D350" s="92">
        <v>19000</v>
      </c>
      <c r="E350" s="92">
        <v>19000</v>
      </c>
      <c r="F350" s="93">
        <v>535.14</v>
      </c>
      <c r="G350" s="97">
        <v>2.8</v>
      </c>
      <c r="H350" s="90" t="s">
        <v>13</v>
      </c>
      <c r="J350" s="24" t="s">
        <v>152</v>
      </c>
      <c r="L350" s="92">
        <v>0</v>
      </c>
    </row>
    <row r="351" spans="1:12" x14ac:dyDescent="0.25">
      <c r="A351" s="90" t="s">
        <v>56</v>
      </c>
      <c r="B351" s="90" t="s">
        <v>606</v>
      </c>
      <c r="C351" s="90" t="s">
        <v>607</v>
      </c>
      <c r="D351" s="92">
        <v>16000</v>
      </c>
      <c r="E351" s="92">
        <v>21000</v>
      </c>
      <c r="F351" s="93">
        <v>13904.21</v>
      </c>
      <c r="G351" s="97">
        <v>66.2</v>
      </c>
      <c r="H351" s="90" t="s">
        <v>13</v>
      </c>
      <c r="L351" s="92">
        <v>5000</v>
      </c>
    </row>
    <row r="352" spans="1:12" x14ac:dyDescent="0.25">
      <c r="A352" s="90" t="s">
        <v>56</v>
      </c>
      <c r="B352" s="90" t="s">
        <v>608</v>
      </c>
      <c r="C352" s="90" t="s">
        <v>609</v>
      </c>
      <c r="D352" s="92">
        <v>70271</v>
      </c>
      <c r="E352" s="92">
        <v>45271</v>
      </c>
      <c r="F352" s="93">
        <v>32269.83</v>
      </c>
      <c r="G352" s="97">
        <v>71.3</v>
      </c>
      <c r="H352" s="90" t="s">
        <v>13</v>
      </c>
      <c r="L352" s="92">
        <v>-25000</v>
      </c>
    </row>
    <row r="353" spans="1:12" x14ac:dyDescent="0.25">
      <c r="A353" s="90" t="s">
        <v>56</v>
      </c>
      <c r="B353" s="90" t="s">
        <v>634</v>
      </c>
      <c r="C353" s="90" t="s">
        <v>635</v>
      </c>
      <c r="D353" s="92">
        <v>83810</v>
      </c>
      <c r="E353" s="92">
        <v>113810</v>
      </c>
      <c r="F353" s="93">
        <v>112852.9</v>
      </c>
      <c r="G353" s="97">
        <v>99.2</v>
      </c>
      <c r="H353" s="90" t="s">
        <v>13</v>
      </c>
      <c r="L353" s="92">
        <v>30000</v>
      </c>
    </row>
    <row r="354" spans="1:12" x14ac:dyDescent="0.25">
      <c r="A354" s="90" t="s">
        <v>56</v>
      </c>
      <c r="B354" s="90" t="s">
        <v>636</v>
      </c>
      <c r="C354" s="90" t="s">
        <v>637</v>
      </c>
      <c r="D354" s="92">
        <v>3500</v>
      </c>
      <c r="E354" s="92">
        <v>3500</v>
      </c>
      <c r="F354" s="93">
        <v>144.21</v>
      </c>
      <c r="G354" s="97">
        <v>4.0999999999999996</v>
      </c>
      <c r="H354" s="90" t="s">
        <v>13</v>
      </c>
      <c r="L354" s="92">
        <v>0</v>
      </c>
    </row>
    <row r="355" spans="1:12" x14ac:dyDescent="0.25">
      <c r="A355" s="90" t="s">
        <v>56</v>
      </c>
      <c r="B355" s="90" t="s">
        <v>610</v>
      </c>
      <c r="C355" s="90" t="s">
        <v>611</v>
      </c>
      <c r="D355" s="92">
        <v>18000</v>
      </c>
      <c r="E355" s="92">
        <v>18000</v>
      </c>
      <c r="F355" s="93">
        <v>4933</v>
      </c>
      <c r="G355" s="97">
        <v>27.4</v>
      </c>
      <c r="H355" s="90" t="s">
        <v>13</v>
      </c>
      <c r="L355" s="92">
        <v>0</v>
      </c>
    </row>
    <row r="356" spans="1:12" x14ac:dyDescent="0.25">
      <c r="A356" s="90" t="s">
        <v>56</v>
      </c>
      <c r="B356" s="90" t="s">
        <v>682</v>
      </c>
      <c r="C356" s="90" t="s">
        <v>683</v>
      </c>
      <c r="D356" s="92">
        <v>4000</v>
      </c>
      <c r="E356" s="92">
        <v>4000</v>
      </c>
      <c r="F356" s="93">
        <v>0</v>
      </c>
      <c r="G356" s="97">
        <v>0</v>
      </c>
      <c r="H356" s="90" t="s">
        <v>13</v>
      </c>
      <c r="L356" s="92">
        <v>0</v>
      </c>
    </row>
    <row r="357" spans="1:12" x14ac:dyDescent="0.25">
      <c r="A357" s="90" t="s">
        <v>56</v>
      </c>
      <c r="B357" s="90" t="s">
        <v>616</v>
      </c>
      <c r="C357" s="90" t="s">
        <v>617</v>
      </c>
      <c r="D357" s="92">
        <v>2000</v>
      </c>
      <c r="E357" s="92">
        <v>2000</v>
      </c>
      <c r="F357" s="93">
        <v>2001.55</v>
      </c>
      <c r="G357" s="97">
        <v>100.1</v>
      </c>
      <c r="H357" s="90" t="s">
        <v>158</v>
      </c>
      <c r="L357" s="92">
        <v>0</v>
      </c>
    </row>
    <row r="358" spans="1:12" x14ac:dyDescent="0.25">
      <c r="A358" s="90" t="s">
        <v>56</v>
      </c>
      <c r="B358" s="90" t="s">
        <v>618</v>
      </c>
      <c r="C358" s="90" t="s">
        <v>619</v>
      </c>
      <c r="D358" s="92">
        <v>45000</v>
      </c>
      <c r="E358" s="92">
        <v>45000</v>
      </c>
      <c r="F358" s="93">
        <v>28456.45</v>
      </c>
      <c r="G358" s="97">
        <v>63.2</v>
      </c>
      <c r="H358" s="90" t="s">
        <v>13</v>
      </c>
      <c r="L358" s="92">
        <v>0</v>
      </c>
    </row>
    <row r="359" spans="1:12" x14ac:dyDescent="0.25">
      <c r="A359" s="90" t="s">
        <v>56</v>
      </c>
      <c r="B359" s="90" t="s">
        <v>622</v>
      </c>
      <c r="C359" s="90" t="s">
        <v>623</v>
      </c>
      <c r="D359" s="92">
        <v>30000</v>
      </c>
      <c r="E359" s="92">
        <v>140000</v>
      </c>
      <c r="F359" s="93">
        <v>104380.65</v>
      </c>
      <c r="G359" s="97">
        <v>74.599999999999994</v>
      </c>
      <c r="H359" s="90" t="s">
        <v>13</v>
      </c>
      <c r="L359" s="92">
        <v>110000</v>
      </c>
    </row>
    <row r="360" spans="1:12" x14ac:dyDescent="0.25">
      <c r="A360" s="90" t="s">
        <v>56</v>
      </c>
      <c r="B360" s="90" t="s">
        <v>706</v>
      </c>
      <c r="C360" s="90" t="s">
        <v>707</v>
      </c>
      <c r="D360" s="92">
        <v>0</v>
      </c>
      <c r="E360" s="92">
        <v>0</v>
      </c>
      <c r="F360" s="93">
        <v>683.28</v>
      </c>
      <c r="G360" s="97">
        <v>100</v>
      </c>
      <c r="H360" s="90" t="s">
        <v>158</v>
      </c>
      <c r="L360" s="92">
        <v>0</v>
      </c>
    </row>
    <row r="361" spans="1:12" x14ac:dyDescent="0.25">
      <c r="A361" s="90" t="s">
        <v>56</v>
      </c>
      <c r="B361" s="90" t="s">
        <v>624</v>
      </c>
      <c r="C361" s="90" t="s">
        <v>625</v>
      </c>
      <c r="D361" s="92">
        <v>13500</v>
      </c>
      <c r="E361" s="92">
        <v>13500</v>
      </c>
      <c r="F361" s="93">
        <v>0</v>
      </c>
      <c r="G361" s="97">
        <v>0</v>
      </c>
      <c r="H361" s="90" t="s">
        <v>13</v>
      </c>
      <c r="L361" s="92">
        <v>0</v>
      </c>
    </row>
    <row r="362" spans="1:12" x14ac:dyDescent="0.25">
      <c r="C362" s="91" t="s">
        <v>708</v>
      </c>
      <c r="D362" s="98">
        <f>SUM(D342:D361)</f>
        <v>1341324</v>
      </c>
      <c r="E362" s="98">
        <f t="shared" ref="E362:F362" si="22">SUM(E342:E361)</f>
        <v>1341324</v>
      </c>
      <c r="F362" s="98">
        <f t="shared" si="22"/>
        <v>1109677.2499999998</v>
      </c>
    </row>
    <row r="363" spans="1:12" x14ac:dyDescent="0.25">
      <c r="A363" s="90" t="s">
        <v>58</v>
      </c>
      <c r="B363" s="90" t="s">
        <v>592</v>
      </c>
      <c r="C363" s="90" t="s">
        <v>593</v>
      </c>
      <c r="D363" s="92">
        <v>1275605</v>
      </c>
      <c r="E363" s="92">
        <v>1271963</v>
      </c>
      <c r="F363" s="93">
        <v>1123481.54</v>
      </c>
      <c r="G363" s="97">
        <v>88.3</v>
      </c>
      <c r="H363" s="90" t="s">
        <v>13</v>
      </c>
      <c r="L363" s="92">
        <v>-3642</v>
      </c>
    </row>
    <row r="364" spans="1:12" x14ac:dyDescent="0.25">
      <c r="A364" s="90" t="s">
        <v>58</v>
      </c>
      <c r="B364" s="90" t="s">
        <v>594</v>
      </c>
      <c r="C364" s="90" t="s">
        <v>595</v>
      </c>
      <c r="D364" s="92">
        <v>10000</v>
      </c>
      <c r="E364" s="92">
        <v>13642</v>
      </c>
      <c r="F364" s="93">
        <v>13641.43</v>
      </c>
      <c r="G364" s="97">
        <v>100</v>
      </c>
      <c r="H364" s="90" t="s">
        <v>13</v>
      </c>
      <c r="L364" s="92">
        <v>3642</v>
      </c>
    </row>
    <row r="365" spans="1:12" x14ac:dyDescent="0.25">
      <c r="A365" s="90" t="s">
        <v>58</v>
      </c>
      <c r="B365" s="90" t="s">
        <v>596</v>
      </c>
      <c r="C365" s="90" t="s">
        <v>597</v>
      </c>
      <c r="D365" s="92">
        <v>79708</v>
      </c>
      <c r="E365" s="92">
        <v>79708</v>
      </c>
      <c r="F365" s="93">
        <v>68431.25</v>
      </c>
      <c r="G365" s="97">
        <v>85.9</v>
      </c>
      <c r="H365" s="90" t="s">
        <v>13</v>
      </c>
      <c r="L365" s="92">
        <v>0</v>
      </c>
    </row>
    <row r="366" spans="1:12" x14ac:dyDescent="0.25">
      <c r="A366" s="90" t="s">
        <v>58</v>
      </c>
      <c r="B366" s="90" t="s">
        <v>598</v>
      </c>
      <c r="C366" s="90" t="s">
        <v>599</v>
      </c>
      <c r="D366" s="92">
        <v>18641</v>
      </c>
      <c r="E366" s="92">
        <v>18641</v>
      </c>
      <c r="F366" s="93">
        <v>16004.07</v>
      </c>
      <c r="G366" s="97">
        <v>85.9</v>
      </c>
      <c r="H366" s="90" t="s">
        <v>13</v>
      </c>
      <c r="L366" s="92">
        <v>0</v>
      </c>
    </row>
    <row r="367" spans="1:12" x14ac:dyDescent="0.25">
      <c r="A367" s="90" t="s">
        <v>58</v>
      </c>
      <c r="B367" s="90" t="s">
        <v>600</v>
      </c>
      <c r="C367" s="90" t="s">
        <v>601</v>
      </c>
      <c r="D367" s="92">
        <v>212896</v>
      </c>
      <c r="E367" s="92">
        <v>212896</v>
      </c>
      <c r="F367" s="93">
        <v>196842.44</v>
      </c>
      <c r="G367" s="97">
        <v>92.5</v>
      </c>
      <c r="H367" s="90" t="s">
        <v>13</v>
      </c>
      <c r="L367" s="92">
        <v>0</v>
      </c>
    </row>
    <row r="368" spans="1:12" x14ac:dyDescent="0.25">
      <c r="A368" s="90" t="s">
        <v>58</v>
      </c>
      <c r="B368" s="90" t="s">
        <v>606</v>
      </c>
      <c r="C368" s="90" t="s">
        <v>607</v>
      </c>
      <c r="D368" s="92">
        <v>400</v>
      </c>
      <c r="E368" s="92">
        <v>721</v>
      </c>
      <c r="F368" s="93">
        <v>720.8</v>
      </c>
      <c r="G368" s="97">
        <v>100</v>
      </c>
      <c r="H368" s="90" t="s">
        <v>13</v>
      </c>
      <c r="L368" s="92">
        <v>321</v>
      </c>
    </row>
    <row r="369" spans="1:12" x14ac:dyDescent="0.25">
      <c r="A369" s="90" t="s">
        <v>58</v>
      </c>
      <c r="B369" s="90" t="s">
        <v>608</v>
      </c>
      <c r="C369" s="90" t="s">
        <v>609</v>
      </c>
      <c r="D369" s="92">
        <v>6250</v>
      </c>
      <c r="E369" s="92">
        <v>6250</v>
      </c>
      <c r="F369" s="93">
        <v>2365.6799999999998</v>
      </c>
      <c r="G369" s="97">
        <v>37.9</v>
      </c>
      <c r="H369" s="90" t="s">
        <v>13</v>
      </c>
      <c r="L369" s="92">
        <v>0</v>
      </c>
    </row>
    <row r="370" spans="1:12" x14ac:dyDescent="0.25">
      <c r="A370" s="90" t="s">
        <v>58</v>
      </c>
      <c r="B370" s="90" t="s">
        <v>709</v>
      </c>
      <c r="C370" s="90" t="s">
        <v>710</v>
      </c>
      <c r="D370" s="92">
        <v>550000</v>
      </c>
      <c r="E370" s="92">
        <v>800000</v>
      </c>
      <c r="F370" s="93">
        <v>706007.35</v>
      </c>
      <c r="G370" s="97">
        <v>88.3</v>
      </c>
      <c r="H370" s="90" t="s">
        <v>13</v>
      </c>
      <c r="L370" s="92">
        <v>250000</v>
      </c>
    </row>
    <row r="371" spans="1:12" x14ac:dyDescent="0.25">
      <c r="A371" s="90" t="s">
        <v>58</v>
      </c>
      <c r="B371" s="90" t="s">
        <v>634</v>
      </c>
      <c r="C371" s="90" t="s">
        <v>635</v>
      </c>
      <c r="D371" s="92">
        <v>1924152</v>
      </c>
      <c r="E371" s="92">
        <v>1633152</v>
      </c>
      <c r="F371" s="93">
        <v>1482387.3</v>
      </c>
      <c r="G371" s="97">
        <v>90.8</v>
      </c>
      <c r="H371" s="90" t="s">
        <v>13</v>
      </c>
      <c r="L371" s="92">
        <v>-291000</v>
      </c>
    </row>
    <row r="372" spans="1:12" x14ac:dyDescent="0.25">
      <c r="A372" s="90" t="s">
        <v>58</v>
      </c>
      <c r="B372" s="90" t="s">
        <v>636</v>
      </c>
      <c r="C372" s="90" t="s">
        <v>637</v>
      </c>
      <c r="D372" s="92">
        <v>10000</v>
      </c>
      <c r="E372" s="92">
        <v>10000</v>
      </c>
      <c r="F372" s="93">
        <v>0</v>
      </c>
      <c r="G372" s="97">
        <v>0</v>
      </c>
      <c r="H372" s="90" t="s">
        <v>13</v>
      </c>
      <c r="L372" s="92">
        <v>0</v>
      </c>
    </row>
    <row r="373" spans="1:12" x14ac:dyDescent="0.25">
      <c r="A373" s="90" t="s">
        <v>58</v>
      </c>
      <c r="B373" s="90" t="s">
        <v>610</v>
      </c>
      <c r="C373" s="90" t="s">
        <v>611</v>
      </c>
      <c r="D373" s="92">
        <v>5700</v>
      </c>
      <c r="E373" s="92">
        <v>5700</v>
      </c>
      <c r="F373" s="93">
        <v>5630.21</v>
      </c>
      <c r="G373" s="97">
        <v>98.8</v>
      </c>
      <c r="H373" s="90" t="s">
        <v>13</v>
      </c>
      <c r="L373" s="92">
        <v>0</v>
      </c>
    </row>
    <row r="374" spans="1:12" x14ac:dyDescent="0.25">
      <c r="A374" s="90" t="s">
        <v>58</v>
      </c>
      <c r="B374" s="90" t="s">
        <v>612</v>
      </c>
      <c r="C374" s="90" t="s">
        <v>613</v>
      </c>
      <c r="D374" s="92">
        <v>50800</v>
      </c>
      <c r="E374" s="92">
        <v>50800</v>
      </c>
      <c r="F374" s="93">
        <v>361.44</v>
      </c>
      <c r="G374" s="97">
        <v>0.7</v>
      </c>
      <c r="H374" s="90" t="s">
        <v>13</v>
      </c>
      <c r="K374" s="24" t="s">
        <v>152</v>
      </c>
      <c r="L374" s="92">
        <v>0</v>
      </c>
    </row>
    <row r="375" spans="1:12" x14ac:dyDescent="0.25">
      <c r="A375" s="90" t="s">
        <v>58</v>
      </c>
      <c r="B375" s="90" t="s">
        <v>631</v>
      </c>
      <c r="C375" s="90" t="s">
        <v>632</v>
      </c>
      <c r="D375" s="92">
        <v>1000</v>
      </c>
      <c r="E375" s="92">
        <v>0</v>
      </c>
      <c r="F375" s="93">
        <v>0</v>
      </c>
      <c r="G375" s="97">
        <v>0</v>
      </c>
      <c r="H375" s="90" t="s">
        <v>13</v>
      </c>
      <c r="L375" s="92">
        <v>-1000</v>
      </c>
    </row>
    <row r="376" spans="1:12" x14ac:dyDescent="0.25">
      <c r="A376" s="90" t="s">
        <v>58</v>
      </c>
      <c r="B376" s="90" t="s">
        <v>616</v>
      </c>
      <c r="C376" s="90" t="s">
        <v>617</v>
      </c>
      <c r="D376" s="92">
        <v>5000</v>
      </c>
      <c r="E376" s="92">
        <v>5000</v>
      </c>
      <c r="F376" s="93">
        <v>546.1</v>
      </c>
      <c r="G376" s="97">
        <v>10.9</v>
      </c>
      <c r="H376" s="90" t="s">
        <v>13</v>
      </c>
      <c r="L376" s="92">
        <v>0</v>
      </c>
    </row>
    <row r="377" spans="1:12" x14ac:dyDescent="0.25">
      <c r="A377" s="90" t="s">
        <v>58</v>
      </c>
      <c r="B377" s="90" t="s">
        <v>618</v>
      </c>
      <c r="C377" s="90" t="s">
        <v>619</v>
      </c>
      <c r="D377" s="92">
        <v>37500</v>
      </c>
      <c r="E377" s="92">
        <v>37500</v>
      </c>
      <c r="F377" s="93">
        <v>37357.589999999997</v>
      </c>
      <c r="G377" s="97">
        <v>99.6</v>
      </c>
      <c r="H377" s="90" t="s">
        <v>13</v>
      </c>
      <c r="L377" s="92">
        <v>0</v>
      </c>
    </row>
    <row r="378" spans="1:12" x14ac:dyDescent="0.25">
      <c r="A378" s="90" t="s">
        <v>58</v>
      </c>
      <c r="B378" s="90" t="s">
        <v>622</v>
      </c>
      <c r="C378" s="90" t="s">
        <v>623</v>
      </c>
      <c r="D378" s="92">
        <v>7200</v>
      </c>
      <c r="E378" s="92">
        <v>7200</v>
      </c>
      <c r="F378" s="93">
        <v>5850.98</v>
      </c>
      <c r="G378" s="97">
        <v>81.3</v>
      </c>
      <c r="H378" s="90" t="s">
        <v>13</v>
      </c>
      <c r="L378" s="92">
        <v>0</v>
      </c>
    </row>
    <row r="379" spans="1:12" x14ac:dyDescent="0.25">
      <c r="A379" s="90" t="s">
        <v>58</v>
      </c>
      <c r="B379" s="90" t="s">
        <v>654</v>
      </c>
      <c r="C379" s="90" t="s">
        <v>655</v>
      </c>
      <c r="D379" s="92">
        <v>0</v>
      </c>
      <c r="E379" s="92">
        <v>0</v>
      </c>
      <c r="F379" s="93">
        <v>-402.79</v>
      </c>
      <c r="G379" s="97">
        <v>100</v>
      </c>
      <c r="H379" s="90" t="s">
        <v>13</v>
      </c>
      <c r="L379" s="92">
        <v>0</v>
      </c>
    </row>
    <row r="380" spans="1:12" x14ac:dyDescent="0.25">
      <c r="A380" s="90" t="s">
        <v>58</v>
      </c>
      <c r="B380" s="90" t="s">
        <v>624</v>
      </c>
      <c r="C380" s="90" t="s">
        <v>625</v>
      </c>
      <c r="D380" s="92">
        <v>1534336</v>
      </c>
      <c r="E380" s="92">
        <v>1534015</v>
      </c>
      <c r="F380" s="93">
        <v>1439018.92</v>
      </c>
      <c r="G380" s="97">
        <v>93.8</v>
      </c>
      <c r="H380" s="90" t="s">
        <v>13</v>
      </c>
      <c r="L380" s="92">
        <v>-321</v>
      </c>
    </row>
    <row r="381" spans="1:12" x14ac:dyDescent="0.25">
      <c r="C381" s="91" t="s">
        <v>711</v>
      </c>
      <c r="D381" s="98">
        <f>SUM(D363:D380)</f>
        <v>5729188</v>
      </c>
      <c r="E381" s="98">
        <f t="shared" ref="E381:F381" si="23">SUM(E363:E380)</f>
        <v>5687188</v>
      </c>
      <c r="F381" s="98">
        <f t="shared" si="23"/>
        <v>5098244.3100000005</v>
      </c>
    </row>
    <row r="382" spans="1:12" x14ac:dyDescent="0.25">
      <c r="A382" s="90" t="s">
        <v>60</v>
      </c>
      <c r="B382" s="90" t="s">
        <v>592</v>
      </c>
      <c r="C382" s="90" t="s">
        <v>593</v>
      </c>
      <c r="D382" s="92">
        <v>683382</v>
      </c>
      <c r="E382" s="92">
        <v>683369</v>
      </c>
      <c r="F382" s="93">
        <v>675434.35</v>
      </c>
      <c r="G382" s="97">
        <v>98.8</v>
      </c>
      <c r="H382" s="90" t="s">
        <v>13</v>
      </c>
      <c r="L382" s="92">
        <v>-13</v>
      </c>
    </row>
    <row r="383" spans="1:12" x14ac:dyDescent="0.25">
      <c r="A383" s="90" t="s">
        <v>60</v>
      </c>
      <c r="B383" s="90" t="s">
        <v>594</v>
      </c>
      <c r="C383" s="90" t="s">
        <v>595</v>
      </c>
      <c r="D383" s="92">
        <v>0</v>
      </c>
      <c r="E383" s="92">
        <v>13</v>
      </c>
      <c r="F383" s="93">
        <v>12.65</v>
      </c>
      <c r="G383" s="97">
        <v>97.3</v>
      </c>
      <c r="H383" s="90" t="s">
        <v>13</v>
      </c>
      <c r="L383" s="92">
        <v>13</v>
      </c>
    </row>
    <row r="384" spans="1:12" x14ac:dyDescent="0.25">
      <c r="A384" s="90" t="s">
        <v>60</v>
      </c>
      <c r="B384" s="90" t="s">
        <v>596</v>
      </c>
      <c r="C384" s="90" t="s">
        <v>597</v>
      </c>
      <c r="D384" s="92">
        <v>42370</v>
      </c>
      <c r="E384" s="92">
        <v>42370</v>
      </c>
      <c r="F384" s="93">
        <v>40820.39</v>
      </c>
      <c r="G384" s="97">
        <v>96.3</v>
      </c>
      <c r="H384" s="90" t="s">
        <v>13</v>
      </c>
      <c r="L384" s="92">
        <v>0</v>
      </c>
    </row>
    <row r="385" spans="1:12" x14ac:dyDescent="0.25">
      <c r="A385" s="90" t="s">
        <v>60</v>
      </c>
      <c r="B385" s="90" t="s">
        <v>598</v>
      </c>
      <c r="C385" s="90" t="s">
        <v>599</v>
      </c>
      <c r="D385" s="92">
        <v>9950</v>
      </c>
      <c r="E385" s="92">
        <v>9950</v>
      </c>
      <c r="F385" s="93">
        <v>9546.69</v>
      </c>
      <c r="G385" s="97">
        <v>95.9</v>
      </c>
      <c r="H385" s="90" t="s">
        <v>13</v>
      </c>
      <c r="L385" s="92">
        <v>0</v>
      </c>
    </row>
    <row r="386" spans="1:12" x14ac:dyDescent="0.25">
      <c r="A386" s="90" t="s">
        <v>60</v>
      </c>
      <c r="B386" s="90" t="s">
        <v>600</v>
      </c>
      <c r="C386" s="90" t="s">
        <v>601</v>
      </c>
      <c r="D386" s="92">
        <v>113168</v>
      </c>
      <c r="E386" s="92">
        <v>113168</v>
      </c>
      <c r="F386" s="93">
        <v>116875.87</v>
      </c>
      <c r="G386" s="97">
        <v>103.3</v>
      </c>
      <c r="H386" s="90" t="s">
        <v>158</v>
      </c>
      <c r="L386" s="92">
        <v>0</v>
      </c>
    </row>
    <row r="387" spans="1:12" x14ac:dyDescent="0.25">
      <c r="A387" s="90" t="s">
        <v>60</v>
      </c>
      <c r="B387" s="90" t="s">
        <v>606</v>
      </c>
      <c r="C387" s="90" t="s">
        <v>607</v>
      </c>
      <c r="D387" s="92">
        <v>200</v>
      </c>
      <c r="E387" s="92">
        <v>200</v>
      </c>
      <c r="F387" s="93">
        <v>160.66</v>
      </c>
      <c r="G387" s="97">
        <v>80.3</v>
      </c>
      <c r="H387" s="90" t="s">
        <v>13</v>
      </c>
      <c r="J387" s="24" t="s">
        <v>152</v>
      </c>
      <c r="L387" s="92">
        <v>0</v>
      </c>
    </row>
    <row r="388" spans="1:12" x14ac:dyDescent="0.25">
      <c r="A388" s="90" t="s">
        <v>60</v>
      </c>
      <c r="B388" s="90" t="s">
        <v>608</v>
      </c>
      <c r="C388" s="90" t="s">
        <v>609</v>
      </c>
      <c r="D388" s="92">
        <v>500</v>
      </c>
      <c r="E388" s="92">
        <v>500</v>
      </c>
      <c r="F388" s="93">
        <v>0</v>
      </c>
      <c r="G388" s="97">
        <v>0</v>
      </c>
      <c r="H388" s="90" t="s">
        <v>13</v>
      </c>
      <c r="L388" s="92">
        <v>0</v>
      </c>
    </row>
    <row r="389" spans="1:12" x14ac:dyDescent="0.25">
      <c r="A389" s="90" t="s">
        <v>60</v>
      </c>
      <c r="B389" s="90" t="s">
        <v>709</v>
      </c>
      <c r="C389" s="90" t="s">
        <v>710</v>
      </c>
      <c r="D389" s="92">
        <v>0</v>
      </c>
      <c r="E389" s="92">
        <v>50</v>
      </c>
      <c r="F389" s="93">
        <v>48.03</v>
      </c>
      <c r="G389" s="97">
        <v>96.1</v>
      </c>
      <c r="H389" s="90" t="s">
        <v>13</v>
      </c>
      <c r="L389" s="92">
        <v>50</v>
      </c>
    </row>
    <row r="390" spans="1:12" x14ac:dyDescent="0.25">
      <c r="A390" s="90" t="s">
        <v>60</v>
      </c>
      <c r="B390" s="90" t="s">
        <v>634</v>
      </c>
      <c r="C390" s="90" t="s">
        <v>635</v>
      </c>
      <c r="D390" s="92">
        <v>1179120</v>
      </c>
      <c r="E390" s="92">
        <v>1220120</v>
      </c>
      <c r="F390" s="93">
        <v>1102919.72</v>
      </c>
      <c r="G390" s="97">
        <v>90.4</v>
      </c>
      <c r="H390" s="90" t="s">
        <v>13</v>
      </c>
      <c r="L390" s="92">
        <v>41000</v>
      </c>
    </row>
    <row r="391" spans="1:12" x14ac:dyDescent="0.25">
      <c r="A391" s="90" t="s">
        <v>60</v>
      </c>
      <c r="B391" s="90" t="s">
        <v>636</v>
      </c>
      <c r="C391" s="90" t="s">
        <v>637</v>
      </c>
      <c r="D391" s="92">
        <v>250</v>
      </c>
      <c r="E391" s="92">
        <v>250</v>
      </c>
      <c r="F391" s="93">
        <v>0</v>
      </c>
      <c r="G391" s="97">
        <v>0</v>
      </c>
      <c r="H391" s="90" t="s">
        <v>13</v>
      </c>
      <c r="L391" s="92">
        <v>0</v>
      </c>
    </row>
    <row r="392" spans="1:12" x14ac:dyDescent="0.25">
      <c r="A392" s="90" t="s">
        <v>60</v>
      </c>
      <c r="B392" s="90" t="s">
        <v>610</v>
      </c>
      <c r="C392" s="90" t="s">
        <v>611</v>
      </c>
      <c r="D392" s="92">
        <v>1500</v>
      </c>
      <c r="E392" s="92">
        <v>1500</v>
      </c>
      <c r="F392" s="93">
        <v>0</v>
      </c>
      <c r="G392" s="97">
        <v>0</v>
      </c>
      <c r="H392" s="90" t="s">
        <v>13</v>
      </c>
      <c r="L392" s="92">
        <v>0</v>
      </c>
    </row>
    <row r="393" spans="1:12" x14ac:dyDescent="0.25">
      <c r="A393" s="90" t="s">
        <v>60</v>
      </c>
      <c r="B393" s="90" t="s">
        <v>612</v>
      </c>
      <c r="C393" s="90" t="s">
        <v>613</v>
      </c>
      <c r="D393" s="92">
        <v>120000</v>
      </c>
      <c r="E393" s="92">
        <v>103000</v>
      </c>
      <c r="F393" s="93">
        <v>93215.58</v>
      </c>
      <c r="G393" s="97">
        <v>90.5</v>
      </c>
      <c r="H393" s="90" t="s">
        <v>13</v>
      </c>
      <c r="L393" s="92">
        <v>-17000</v>
      </c>
    </row>
    <row r="394" spans="1:12" x14ac:dyDescent="0.25">
      <c r="A394" s="90" t="s">
        <v>60</v>
      </c>
      <c r="B394" s="90" t="s">
        <v>616</v>
      </c>
      <c r="C394" s="90" t="s">
        <v>617</v>
      </c>
      <c r="D394" s="92">
        <v>1500</v>
      </c>
      <c r="E394" s="92">
        <v>1500</v>
      </c>
      <c r="F394" s="93">
        <v>910</v>
      </c>
      <c r="G394" s="97">
        <v>60.7</v>
      </c>
      <c r="H394" s="90" t="s">
        <v>13</v>
      </c>
      <c r="L394" s="92">
        <v>0</v>
      </c>
    </row>
    <row r="395" spans="1:12" x14ac:dyDescent="0.25">
      <c r="A395" s="90" t="s">
        <v>60</v>
      </c>
      <c r="B395" s="90" t="s">
        <v>618</v>
      </c>
      <c r="C395" s="90" t="s">
        <v>619</v>
      </c>
      <c r="D395" s="92">
        <v>7500</v>
      </c>
      <c r="E395" s="92">
        <v>7450</v>
      </c>
      <c r="F395" s="93">
        <v>3049.65</v>
      </c>
      <c r="G395" s="97">
        <v>40.9</v>
      </c>
      <c r="H395" s="90" t="s">
        <v>13</v>
      </c>
      <c r="L395" s="92">
        <v>-50</v>
      </c>
    </row>
    <row r="396" spans="1:12" x14ac:dyDescent="0.25">
      <c r="A396" s="90" t="s">
        <v>60</v>
      </c>
      <c r="B396" s="90" t="s">
        <v>622</v>
      </c>
      <c r="C396" s="90" t="s">
        <v>623</v>
      </c>
      <c r="D396" s="92">
        <v>2000</v>
      </c>
      <c r="E396" s="92">
        <v>2000</v>
      </c>
      <c r="F396" s="93">
        <v>1187.03</v>
      </c>
      <c r="G396" s="97">
        <v>59.4</v>
      </c>
      <c r="H396" s="90" t="s">
        <v>13</v>
      </c>
      <c r="L396" s="92">
        <v>0</v>
      </c>
    </row>
    <row r="397" spans="1:12" x14ac:dyDescent="0.25">
      <c r="A397" s="90" t="s">
        <v>60</v>
      </c>
      <c r="B397" s="90" t="s">
        <v>624</v>
      </c>
      <c r="C397" s="90" t="s">
        <v>625</v>
      </c>
      <c r="D397" s="92">
        <v>10000</v>
      </c>
      <c r="E397" s="92">
        <v>27000</v>
      </c>
      <c r="F397" s="93">
        <v>25807.9</v>
      </c>
      <c r="G397" s="97">
        <v>95.6</v>
      </c>
      <c r="H397" s="90" t="s">
        <v>13</v>
      </c>
      <c r="L397" s="92">
        <v>17000</v>
      </c>
    </row>
    <row r="398" spans="1:12" x14ac:dyDescent="0.25">
      <c r="C398" s="91" t="s">
        <v>712</v>
      </c>
      <c r="D398" s="98">
        <f>SUM(D382:D397)</f>
        <v>2171440</v>
      </c>
      <c r="E398" s="98">
        <f t="shared" ref="E398:F398" si="24">SUM(E382:E397)</f>
        <v>2212440</v>
      </c>
      <c r="F398" s="98">
        <f t="shared" si="24"/>
        <v>2069988.5199999998</v>
      </c>
    </row>
    <row r="399" spans="1:12" x14ac:dyDescent="0.25">
      <c r="A399" s="90" t="s">
        <v>62</v>
      </c>
      <c r="B399" s="90" t="s">
        <v>592</v>
      </c>
      <c r="C399" s="90" t="s">
        <v>593</v>
      </c>
      <c r="D399" s="92">
        <v>371387</v>
      </c>
      <c r="E399" s="92">
        <v>371387</v>
      </c>
      <c r="F399" s="93">
        <v>366192.3</v>
      </c>
      <c r="G399" s="97">
        <v>98.6</v>
      </c>
      <c r="H399" s="90" t="s">
        <v>13</v>
      </c>
      <c r="L399" s="92">
        <v>0</v>
      </c>
    </row>
    <row r="400" spans="1:12" x14ac:dyDescent="0.25">
      <c r="A400" s="90" t="s">
        <v>62</v>
      </c>
      <c r="B400" s="90" t="s">
        <v>594</v>
      </c>
      <c r="C400" s="90" t="s">
        <v>595</v>
      </c>
      <c r="D400" s="92">
        <v>0</v>
      </c>
      <c r="E400" s="92">
        <v>108</v>
      </c>
      <c r="F400" s="93">
        <v>107.62</v>
      </c>
      <c r="G400" s="97">
        <v>99.6</v>
      </c>
      <c r="H400" s="90" t="s">
        <v>13</v>
      </c>
      <c r="L400" s="92">
        <v>108</v>
      </c>
    </row>
    <row r="401" spans="1:12" x14ac:dyDescent="0.25">
      <c r="A401" s="90" t="s">
        <v>62</v>
      </c>
      <c r="B401" s="90" t="s">
        <v>596</v>
      </c>
      <c r="C401" s="90" t="s">
        <v>597</v>
      </c>
      <c r="D401" s="92">
        <v>23026</v>
      </c>
      <c r="E401" s="92">
        <v>23026</v>
      </c>
      <c r="F401" s="93">
        <v>22313.59</v>
      </c>
      <c r="G401" s="97">
        <v>96.9</v>
      </c>
      <c r="H401" s="90" t="s">
        <v>13</v>
      </c>
      <c r="L401" s="92">
        <v>0</v>
      </c>
    </row>
    <row r="402" spans="1:12" x14ac:dyDescent="0.25">
      <c r="A402" s="90" t="s">
        <v>62</v>
      </c>
      <c r="B402" s="90" t="s">
        <v>598</v>
      </c>
      <c r="C402" s="90" t="s">
        <v>599</v>
      </c>
      <c r="D402" s="92">
        <v>5385</v>
      </c>
      <c r="E402" s="92">
        <v>5385</v>
      </c>
      <c r="F402" s="93">
        <v>5218.4799999999996</v>
      </c>
      <c r="G402" s="97">
        <v>96.9</v>
      </c>
      <c r="H402" s="90" t="s">
        <v>13</v>
      </c>
      <c r="K402" s="24" t="s">
        <v>152</v>
      </c>
      <c r="L402" s="92">
        <v>0</v>
      </c>
    </row>
    <row r="403" spans="1:12" x14ac:dyDescent="0.25">
      <c r="A403" s="90" t="s">
        <v>62</v>
      </c>
      <c r="B403" s="90" t="s">
        <v>600</v>
      </c>
      <c r="C403" s="90" t="s">
        <v>601</v>
      </c>
      <c r="D403" s="92">
        <v>61502</v>
      </c>
      <c r="E403" s="92">
        <v>61502</v>
      </c>
      <c r="F403" s="93">
        <v>63253.51</v>
      </c>
      <c r="G403" s="97">
        <v>102.8</v>
      </c>
      <c r="H403" s="90" t="s">
        <v>158</v>
      </c>
      <c r="L403" s="92">
        <v>0</v>
      </c>
    </row>
    <row r="404" spans="1:12" x14ac:dyDescent="0.25">
      <c r="A404" s="90" t="s">
        <v>62</v>
      </c>
      <c r="B404" s="90" t="s">
        <v>608</v>
      </c>
      <c r="C404" s="90" t="s">
        <v>609</v>
      </c>
      <c r="D404" s="92">
        <v>75000</v>
      </c>
      <c r="E404" s="92">
        <v>75000</v>
      </c>
      <c r="F404" s="93">
        <v>-11588.23</v>
      </c>
      <c r="G404" s="97">
        <v>-15.5</v>
      </c>
      <c r="H404" s="90" t="s">
        <v>13</v>
      </c>
      <c r="L404" s="92">
        <v>0</v>
      </c>
    </row>
    <row r="405" spans="1:12" x14ac:dyDescent="0.25">
      <c r="A405" s="90" t="s">
        <v>62</v>
      </c>
      <c r="B405" s="90" t="s">
        <v>634</v>
      </c>
      <c r="C405" s="90" t="s">
        <v>635</v>
      </c>
      <c r="D405" s="92">
        <v>61000</v>
      </c>
      <c r="E405" s="92">
        <v>61000</v>
      </c>
      <c r="F405" s="93">
        <v>30380.58</v>
      </c>
      <c r="G405" s="97">
        <v>49.8</v>
      </c>
      <c r="H405" s="90" t="s">
        <v>13</v>
      </c>
      <c r="L405" s="92">
        <v>0</v>
      </c>
    </row>
    <row r="406" spans="1:12" x14ac:dyDescent="0.25">
      <c r="A406" s="90" t="s">
        <v>62</v>
      </c>
      <c r="B406" s="90" t="s">
        <v>636</v>
      </c>
      <c r="C406" s="90" t="s">
        <v>637</v>
      </c>
      <c r="D406" s="92">
        <v>1500</v>
      </c>
      <c r="E406" s="92">
        <v>1500</v>
      </c>
      <c r="F406" s="93">
        <v>0</v>
      </c>
      <c r="G406" s="97">
        <v>0</v>
      </c>
      <c r="H406" s="90" t="s">
        <v>13</v>
      </c>
      <c r="L406" s="92">
        <v>0</v>
      </c>
    </row>
    <row r="407" spans="1:12" x14ac:dyDescent="0.25">
      <c r="A407" s="90" t="s">
        <v>62</v>
      </c>
      <c r="B407" s="90" t="s">
        <v>610</v>
      </c>
      <c r="C407" s="90" t="s">
        <v>611</v>
      </c>
      <c r="D407" s="92">
        <v>25000</v>
      </c>
      <c r="E407" s="92">
        <v>25000</v>
      </c>
      <c r="F407" s="93">
        <v>20122.53</v>
      </c>
      <c r="G407" s="97">
        <v>80.5</v>
      </c>
      <c r="H407" s="90" t="s">
        <v>13</v>
      </c>
      <c r="L407" s="92">
        <v>0</v>
      </c>
    </row>
    <row r="408" spans="1:12" x14ac:dyDescent="0.25">
      <c r="A408" s="90" t="s">
        <v>62</v>
      </c>
      <c r="B408" s="90" t="s">
        <v>612</v>
      </c>
      <c r="C408" s="90" t="s">
        <v>613</v>
      </c>
      <c r="D408" s="92">
        <v>8500</v>
      </c>
      <c r="E408" s="92">
        <v>8392</v>
      </c>
      <c r="F408" s="93">
        <v>3964.8</v>
      </c>
      <c r="G408" s="97">
        <v>47.2</v>
      </c>
      <c r="H408" s="90" t="s">
        <v>13</v>
      </c>
      <c r="L408" s="92">
        <v>-108</v>
      </c>
    </row>
    <row r="409" spans="1:12" x14ac:dyDescent="0.25">
      <c r="A409" s="90" t="s">
        <v>62</v>
      </c>
      <c r="B409" s="90" t="s">
        <v>616</v>
      </c>
      <c r="C409" s="90" t="s">
        <v>617</v>
      </c>
      <c r="D409" s="92">
        <v>625</v>
      </c>
      <c r="E409" s="92">
        <v>625</v>
      </c>
      <c r="F409" s="93">
        <v>483.99</v>
      </c>
      <c r="G409" s="97">
        <v>77.400000000000006</v>
      </c>
      <c r="H409" s="90" t="s">
        <v>13</v>
      </c>
      <c r="L409" s="92">
        <v>0</v>
      </c>
    </row>
    <row r="410" spans="1:12" x14ac:dyDescent="0.25">
      <c r="A410" s="90" t="s">
        <v>62</v>
      </c>
      <c r="B410" s="90" t="s">
        <v>618</v>
      </c>
      <c r="C410" s="90" t="s">
        <v>619</v>
      </c>
      <c r="D410" s="92">
        <v>4000</v>
      </c>
      <c r="E410" s="92">
        <v>4000</v>
      </c>
      <c r="F410" s="93">
        <v>2027.23</v>
      </c>
      <c r="G410" s="97">
        <v>50.7</v>
      </c>
      <c r="H410" s="90" t="s">
        <v>13</v>
      </c>
      <c r="L410" s="92">
        <v>0</v>
      </c>
    </row>
    <row r="411" spans="1:12" x14ac:dyDescent="0.25">
      <c r="A411" s="90" t="s">
        <v>62</v>
      </c>
      <c r="B411" s="90" t="s">
        <v>622</v>
      </c>
      <c r="C411" s="90" t="s">
        <v>623</v>
      </c>
      <c r="D411" s="92">
        <v>15500</v>
      </c>
      <c r="E411" s="92">
        <v>15122</v>
      </c>
      <c r="F411" s="93">
        <v>13027.38</v>
      </c>
      <c r="G411" s="97">
        <v>86.1</v>
      </c>
      <c r="H411" s="90" t="s">
        <v>13</v>
      </c>
      <c r="L411" s="92">
        <v>-378</v>
      </c>
    </row>
    <row r="412" spans="1:12" x14ac:dyDescent="0.25">
      <c r="A412" s="90" t="s">
        <v>62</v>
      </c>
      <c r="B412" s="90" t="s">
        <v>663</v>
      </c>
      <c r="C412" s="90" t="s">
        <v>664</v>
      </c>
      <c r="D412" s="92">
        <v>290</v>
      </c>
      <c r="E412" s="92">
        <v>290</v>
      </c>
      <c r="F412" s="93">
        <v>205.11</v>
      </c>
      <c r="G412" s="97">
        <v>70.7</v>
      </c>
      <c r="H412" s="90" t="s">
        <v>13</v>
      </c>
      <c r="L412" s="92">
        <v>0</v>
      </c>
    </row>
    <row r="413" spans="1:12" x14ac:dyDescent="0.25">
      <c r="A413" s="90" t="s">
        <v>62</v>
      </c>
      <c r="B413" s="90" t="s">
        <v>644</v>
      </c>
      <c r="C413" s="90" t="s">
        <v>645</v>
      </c>
      <c r="D413" s="92">
        <v>0</v>
      </c>
      <c r="E413" s="92">
        <v>378</v>
      </c>
      <c r="F413" s="93">
        <v>377.35</v>
      </c>
      <c r="G413" s="97">
        <v>99.8</v>
      </c>
      <c r="H413" s="90" t="s">
        <v>13</v>
      </c>
      <c r="L413" s="92">
        <v>378</v>
      </c>
    </row>
    <row r="414" spans="1:12" x14ac:dyDescent="0.25">
      <c r="A414" s="90" t="s">
        <v>62</v>
      </c>
      <c r="B414" s="90" t="s">
        <v>624</v>
      </c>
      <c r="C414" s="90" t="s">
        <v>625</v>
      </c>
      <c r="D414" s="92">
        <v>45000</v>
      </c>
      <c r="E414" s="92">
        <v>45000</v>
      </c>
      <c r="F414" s="93">
        <v>4959.26</v>
      </c>
      <c r="G414" s="97">
        <v>11</v>
      </c>
      <c r="H414" s="90" t="s">
        <v>13</v>
      </c>
      <c r="L414" s="92">
        <v>0</v>
      </c>
    </row>
    <row r="415" spans="1:12" x14ac:dyDescent="0.25">
      <c r="C415" s="91" t="s">
        <v>713</v>
      </c>
      <c r="D415" s="98">
        <f>SUM(D399:D414)</f>
        <v>697715</v>
      </c>
      <c r="E415" s="98">
        <f t="shared" ref="E415:F415" si="25">SUM(E399:E414)</f>
        <v>697715</v>
      </c>
      <c r="F415" s="98">
        <f t="shared" si="25"/>
        <v>521045.49999999994</v>
      </c>
    </row>
    <row r="416" spans="1:12" x14ac:dyDescent="0.25">
      <c r="A416" s="90" t="s">
        <v>64</v>
      </c>
      <c r="B416" s="90" t="s">
        <v>592</v>
      </c>
      <c r="C416" s="90" t="s">
        <v>593</v>
      </c>
      <c r="D416" s="92">
        <v>543934</v>
      </c>
      <c r="E416" s="92">
        <v>543934</v>
      </c>
      <c r="F416" s="93">
        <v>529547.36</v>
      </c>
      <c r="G416" s="97">
        <v>97.4</v>
      </c>
      <c r="H416" s="90" t="s">
        <v>13</v>
      </c>
      <c r="L416" s="92">
        <v>0</v>
      </c>
    </row>
    <row r="417" spans="1:12" x14ac:dyDescent="0.25">
      <c r="A417" s="90" t="s">
        <v>64</v>
      </c>
      <c r="B417" s="90" t="s">
        <v>594</v>
      </c>
      <c r="C417" s="90" t="s">
        <v>595</v>
      </c>
      <c r="D417" s="92">
        <v>0</v>
      </c>
      <c r="E417" s="92">
        <v>0</v>
      </c>
      <c r="F417" s="93">
        <v>460.22</v>
      </c>
      <c r="G417" s="97">
        <v>100</v>
      </c>
      <c r="H417" s="90" t="s">
        <v>158</v>
      </c>
      <c r="J417" s="24" t="s">
        <v>152</v>
      </c>
      <c r="L417" s="92">
        <v>0</v>
      </c>
    </row>
    <row r="418" spans="1:12" x14ac:dyDescent="0.25">
      <c r="A418" s="90" t="s">
        <v>64</v>
      </c>
      <c r="B418" s="90" t="s">
        <v>596</v>
      </c>
      <c r="C418" s="90" t="s">
        <v>597</v>
      </c>
      <c r="D418" s="92">
        <v>33724</v>
      </c>
      <c r="E418" s="92">
        <v>33724</v>
      </c>
      <c r="F418" s="93">
        <v>31572.36</v>
      </c>
      <c r="G418" s="97">
        <v>93.6</v>
      </c>
      <c r="H418" s="90" t="s">
        <v>13</v>
      </c>
      <c r="L418" s="92">
        <v>0</v>
      </c>
    </row>
    <row r="419" spans="1:12" x14ac:dyDescent="0.25">
      <c r="A419" s="90" t="s">
        <v>64</v>
      </c>
      <c r="B419" s="90" t="s">
        <v>598</v>
      </c>
      <c r="C419" s="90" t="s">
        <v>599</v>
      </c>
      <c r="D419" s="92">
        <v>7887</v>
      </c>
      <c r="E419" s="92">
        <v>7887</v>
      </c>
      <c r="F419" s="93">
        <v>7383.85</v>
      </c>
      <c r="G419" s="97">
        <v>93.6</v>
      </c>
      <c r="H419" s="90" t="s">
        <v>13</v>
      </c>
      <c r="L419" s="92">
        <v>0</v>
      </c>
    </row>
    <row r="420" spans="1:12" x14ac:dyDescent="0.25">
      <c r="A420" s="90" t="s">
        <v>64</v>
      </c>
      <c r="B420" s="90" t="s">
        <v>600</v>
      </c>
      <c r="C420" s="90" t="s">
        <v>601</v>
      </c>
      <c r="D420" s="92">
        <v>90075</v>
      </c>
      <c r="E420" s="92">
        <v>90075</v>
      </c>
      <c r="F420" s="93">
        <v>91446.23</v>
      </c>
      <c r="G420" s="97">
        <v>101.5</v>
      </c>
      <c r="H420" s="90" t="s">
        <v>158</v>
      </c>
      <c r="L420" s="92">
        <v>0</v>
      </c>
    </row>
    <row r="421" spans="1:12" x14ac:dyDescent="0.25">
      <c r="A421" s="90" t="s">
        <v>64</v>
      </c>
      <c r="B421" s="90" t="s">
        <v>714</v>
      </c>
      <c r="C421" s="90" t="s">
        <v>715</v>
      </c>
      <c r="D421" s="92">
        <v>10000</v>
      </c>
      <c r="E421" s="92">
        <v>10000</v>
      </c>
      <c r="F421" s="93">
        <v>4490.3900000000003</v>
      </c>
      <c r="G421" s="97">
        <v>44.9</v>
      </c>
      <c r="H421" s="90" t="s">
        <v>13</v>
      </c>
      <c r="L421" s="92">
        <v>0</v>
      </c>
    </row>
    <row r="422" spans="1:12" x14ac:dyDescent="0.25">
      <c r="A422" s="90" t="s">
        <v>64</v>
      </c>
      <c r="B422" s="90" t="s">
        <v>604</v>
      </c>
      <c r="C422" s="90" t="s">
        <v>605</v>
      </c>
      <c r="D422" s="92">
        <v>20000</v>
      </c>
      <c r="E422" s="92">
        <v>19000</v>
      </c>
      <c r="F422" s="93">
        <v>4099.3900000000003</v>
      </c>
      <c r="G422" s="97">
        <v>21.6</v>
      </c>
      <c r="H422" s="90" t="s">
        <v>13</v>
      </c>
      <c r="L422" s="92">
        <v>-1000</v>
      </c>
    </row>
    <row r="423" spans="1:12" x14ac:dyDescent="0.25">
      <c r="A423" s="90" t="s">
        <v>64</v>
      </c>
      <c r="B423" s="90" t="s">
        <v>606</v>
      </c>
      <c r="C423" s="90" t="s">
        <v>607</v>
      </c>
      <c r="D423" s="92">
        <v>2000</v>
      </c>
      <c r="E423" s="92">
        <v>1656</v>
      </c>
      <c r="F423" s="93">
        <v>1532.25</v>
      </c>
      <c r="G423" s="97">
        <v>92.5</v>
      </c>
      <c r="H423" s="90" t="s">
        <v>13</v>
      </c>
      <c r="L423" s="92">
        <v>-344</v>
      </c>
    </row>
    <row r="424" spans="1:12" x14ac:dyDescent="0.25">
      <c r="A424" s="90" t="s">
        <v>64</v>
      </c>
      <c r="B424" s="90" t="s">
        <v>608</v>
      </c>
      <c r="C424" s="90" t="s">
        <v>609</v>
      </c>
      <c r="D424" s="92">
        <v>1200</v>
      </c>
      <c r="E424" s="92">
        <v>1200</v>
      </c>
      <c r="F424" s="93">
        <v>465.25</v>
      </c>
      <c r="G424" s="97">
        <v>38.799999999999997</v>
      </c>
      <c r="H424" s="90" t="s">
        <v>13</v>
      </c>
      <c r="L424" s="92">
        <v>0</v>
      </c>
    </row>
    <row r="425" spans="1:12" x14ac:dyDescent="0.25">
      <c r="A425" s="90" t="s">
        <v>64</v>
      </c>
      <c r="B425" s="90" t="s">
        <v>636</v>
      </c>
      <c r="C425" s="90" t="s">
        <v>637</v>
      </c>
      <c r="D425" s="92">
        <v>300</v>
      </c>
      <c r="E425" s="92">
        <v>300</v>
      </c>
      <c r="F425" s="93">
        <v>0</v>
      </c>
      <c r="G425" s="97">
        <v>0</v>
      </c>
      <c r="H425" s="90" t="s">
        <v>13</v>
      </c>
      <c r="L425" s="92">
        <v>0</v>
      </c>
    </row>
    <row r="426" spans="1:12" x14ac:dyDescent="0.25">
      <c r="A426" s="90" t="s">
        <v>64</v>
      </c>
      <c r="B426" s="90" t="s">
        <v>610</v>
      </c>
      <c r="C426" s="90" t="s">
        <v>611</v>
      </c>
      <c r="D426" s="92">
        <v>2500</v>
      </c>
      <c r="E426" s="92">
        <v>3844</v>
      </c>
      <c r="F426" s="93">
        <v>3302.4</v>
      </c>
      <c r="G426" s="97">
        <v>85.9</v>
      </c>
      <c r="H426" s="90" t="s">
        <v>13</v>
      </c>
      <c r="L426" s="92">
        <v>1344</v>
      </c>
    </row>
    <row r="427" spans="1:12" x14ac:dyDescent="0.25">
      <c r="A427" s="90" t="s">
        <v>64</v>
      </c>
      <c r="B427" s="90" t="s">
        <v>612</v>
      </c>
      <c r="C427" s="90" t="s">
        <v>613</v>
      </c>
      <c r="D427" s="92">
        <v>260000</v>
      </c>
      <c r="E427" s="92">
        <v>231732</v>
      </c>
      <c r="F427" s="93">
        <v>160181.42000000001</v>
      </c>
      <c r="G427" s="97">
        <v>69.099999999999994</v>
      </c>
      <c r="H427" s="90" t="s">
        <v>13</v>
      </c>
      <c r="L427" s="92">
        <v>-28268</v>
      </c>
    </row>
    <row r="428" spans="1:12" x14ac:dyDescent="0.25">
      <c r="A428" s="90" t="s">
        <v>64</v>
      </c>
      <c r="B428" s="90" t="s">
        <v>616</v>
      </c>
      <c r="C428" s="90" t="s">
        <v>617</v>
      </c>
      <c r="D428" s="92">
        <v>4000</v>
      </c>
      <c r="E428" s="92">
        <v>4000</v>
      </c>
      <c r="F428" s="93">
        <v>2492</v>
      </c>
      <c r="G428" s="97">
        <v>62.3</v>
      </c>
      <c r="H428" s="90" t="s">
        <v>13</v>
      </c>
      <c r="L428" s="92">
        <v>0</v>
      </c>
    </row>
    <row r="429" spans="1:12" x14ac:dyDescent="0.25">
      <c r="A429" s="90" t="s">
        <v>64</v>
      </c>
      <c r="B429" s="90" t="s">
        <v>618</v>
      </c>
      <c r="C429" s="90" t="s">
        <v>619</v>
      </c>
      <c r="D429" s="92">
        <v>7500</v>
      </c>
      <c r="E429" s="92">
        <v>7850</v>
      </c>
      <c r="F429" s="93">
        <v>7694.99</v>
      </c>
      <c r="G429" s="97">
        <v>98</v>
      </c>
      <c r="H429" s="90" t="s">
        <v>13</v>
      </c>
      <c r="L429" s="92">
        <v>350</v>
      </c>
    </row>
    <row r="430" spans="1:12" x14ac:dyDescent="0.25">
      <c r="A430" s="90" t="s">
        <v>64</v>
      </c>
      <c r="B430" s="90" t="s">
        <v>622</v>
      </c>
      <c r="C430" s="90" t="s">
        <v>623</v>
      </c>
      <c r="D430" s="92">
        <v>10000</v>
      </c>
      <c r="E430" s="92">
        <v>10636</v>
      </c>
      <c r="F430" s="93">
        <v>10264.94</v>
      </c>
      <c r="G430" s="97">
        <v>96.5</v>
      </c>
      <c r="H430" s="90" t="s">
        <v>13</v>
      </c>
      <c r="L430" s="92">
        <v>636</v>
      </c>
    </row>
    <row r="431" spans="1:12" x14ac:dyDescent="0.25">
      <c r="A431" s="90" t="s">
        <v>64</v>
      </c>
      <c r="B431" s="90" t="s">
        <v>716</v>
      </c>
      <c r="C431" s="90" t="s">
        <v>717</v>
      </c>
      <c r="D431" s="92">
        <v>0</v>
      </c>
      <c r="E431" s="92">
        <v>17709</v>
      </c>
      <c r="F431" s="93">
        <v>17708.36</v>
      </c>
      <c r="G431" s="97">
        <v>100</v>
      </c>
      <c r="H431" s="90" t="s">
        <v>13</v>
      </c>
      <c r="L431" s="92">
        <v>17709</v>
      </c>
    </row>
    <row r="432" spans="1:12" x14ac:dyDescent="0.25">
      <c r="A432" s="90" t="s">
        <v>64</v>
      </c>
      <c r="B432" s="90" t="s">
        <v>718</v>
      </c>
      <c r="C432" s="90" t="s">
        <v>719</v>
      </c>
      <c r="D432" s="92">
        <v>0</v>
      </c>
      <c r="E432" s="92">
        <v>1923</v>
      </c>
      <c r="F432" s="93">
        <v>1922.34</v>
      </c>
      <c r="G432" s="97">
        <v>100</v>
      </c>
      <c r="H432" s="90" t="s">
        <v>13</v>
      </c>
      <c r="L432" s="92">
        <v>1923</v>
      </c>
    </row>
    <row r="433" spans="1:12" x14ac:dyDescent="0.25">
      <c r="C433" s="91" t="s">
        <v>720</v>
      </c>
      <c r="D433" s="98">
        <f>SUM(D416:D432)</f>
        <v>993120</v>
      </c>
      <c r="E433" s="98">
        <f t="shared" ref="E433:F433" si="26">SUM(E416:E432)</f>
        <v>985470</v>
      </c>
      <c r="F433" s="98">
        <f t="shared" si="26"/>
        <v>874563.74999999988</v>
      </c>
    </row>
    <row r="434" spans="1:12" x14ac:dyDescent="0.25">
      <c r="A434" s="90" t="s">
        <v>576</v>
      </c>
      <c r="B434" s="90" t="s">
        <v>622</v>
      </c>
      <c r="C434" s="90" t="s">
        <v>623</v>
      </c>
      <c r="D434" s="92">
        <v>0</v>
      </c>
      <c r="E434" s="92">
        <v>0</v>
      </c>
      <c r="F434" s="93">
        <v>136.56</v>
      </c>
      <c r="G434" s="97">
        <v>100</v>
      </c>
      <c r="H434" s="90" t="s">
        <v>158</v>
      </c>
      <c r="L434" s="92">
        <v>0</v>
      </c>
    </row>
    <row r="435" spans="1:12" x14ac:dyDescent="0.25">
      <c r="C435" s="91" t="s">
        <v>721</v>
      </c>
      <c r="D435" s="98">
        <f>SUM(D434)</f>
        <v>0</v>
      </c>
      <c r="E435" s="98">
        <f t="shared" ref="E435:F435" si="27">SUM(E434)</f>
        <v>0</v>
      </c>
      <c r="F435" s="98">
        <f t="shared" si="27"/>
        <v>136.56</v>
      </c>
    </row>
    <row r="436" spans="1:12" x14ac:dyDescent="0.25">
      <c r="A436" s="90" t="s">
        <v>66</v>
      </c>
      <c r="B436" s="90" t="s">
        <v>671</v>
      </c>
      <c r="C436" s="90" t="s">
        <v>672</v>
      </c>
      <c r="D436" s="92">
        <v>0</v>
      </c>
      <c r="E436" s="92">
        <v>5000</v>
      </c>
      <c r="F436" s="93">
        <v>5000</v>
      </c>
      <c r="G436" s="97">
        <v>100</v>
      </c>
      <c r="H436" s="90" t="s">
        <v>13</v>
      </c>
      <c r="L436" s="92">
        <v>5000</v>
      </c>
    </row>
    <row r="437" spans="1:12" x14ac:dyDescent="0.25">
      <c r="A437" s="90" t="s">
        <v>66</v>
      </c>
      <c r="B437" s="90" t="s">
        <v>722</v>
      </c>
      <c r="C437" s="90" t="s">
        <v>723</v>
      </c>
      <c r="D437" s="92">
        <v>337097</v>
      </c>
      <c r="E437" s="92">
        <v>337097</v>
      </c>
      <c r="F437" s="93">
        <v>337097</v>
      </c>
      <c r="G437" s="97">
        <v>100</v>
      </c>
      <c r="H437" s="90" t="s">
        <v>13</v>
      </c>
      <c r="L437" s="92">
        <v>0</v>
      </c>
    </row>
    <row r="438" spans="1:12" x14ac:dyDescent="0.25">
      <c r="A438" s="90" t="s">
        <v>66</v>
      </c>
      <c r="B438" s="90" t="s">
        <v>724</v>
      </c>
      <c r="C438" s="90" t="s">
        <v>725</v>
      </c>
      <c r="D438" s="92">
        <v>100000</v>
      </c>
      <c r="E438" s="92">
        <v>100000</v>
      </c>
      <c r="F438" s="93">
        <v>100000</v>
      </c>
      <c r="G438" s="97">
        <v>100</v>
      </c>
      <c r="H438" s="90" t="s">
        <v>13</v>
      </c>
      <c r="L438" s="92">
        <v>0</v>
      </c>
    </row>
    <row r="439" spans="1:12" x14ac:dyDescent="0.25">
      <c r="A439" s="90" t="s">
        <v>66</v>
      </c>
      <c r="B439" s="90" t="s">
        <v>726</v>
      </c>
      <c r="C439" s="90" t="s">
        <v>727</v>
      </c>
      <c r="D439" s="92">
        <v>135000</v>
      </c>
      <c r="E439" s="92">
        <v>145000</v>
      </c>
      <c r="F439" s="93">
        <v>145000</v>
      </c>
      <c r="G439" s="97">
        <v>100</v>
      </c>
      <c r="H439" s="90" t="s">
        <v>13</v>
      </c>
      <c r="L439" s="92">
        <v>10000</v>
      </c>
    </row>
    <row r="440" spans="1:12" x14ac:dyDescent="0.25">
      <c r="A440" s="90" t="s">
        <v>66</v>
      </c>
      <c r="B440" s="90" t="s">
        <v>728</v>
      </c>
      <c r="C440" s="90" t="s">
        <v>729</v>
      </c>
      <c r="D440" s="92">
        <v>25000</v>
      </c>
      <c r="E440" s="92">
        <v>25000</v>
      </c>
      <c r="F440" s="93">
        <v>25000</v>
      </c>
      <c r="G440" s="97">
        <v>100</v>
      </c>
      <c r="H440" s="90" t="s">
        <v>13</v>
      </c>
      <c r="L440" s="92">
        <v>0</v>
      </c>
    </row>
    <row r="441" spans="1:12" x14ac:dyDescent="0.25">
      <c r="A441" s="90" t="s">
        <v>66</v>
      </c>
      <c r="B441" s="90" t="s">
        <v>730</v>
      </c>
      <c r="C441" s="90" t="s">
        <v>731</v>
      </c>
      <c r="D441" s="92">
        <v>140338</v>
      </c>
      <c r="E441" s="92">
        <v>140338</v>
      </c>
      <c r="F441" s="93">
        <v>140338</v>
      </c>
      <c r="G441" s="97">
        <v>100</v>
      </c>
      <c r="H441" s="90" t="s">
        <v>13</v>
      </c>
      <c r="L441" s="92">
        <v>0</v>
      </c>
    </row>
    <row r="442" spans="1:12" x14ac:dyDescent="0.25">
      <c r="A442" s="90" t="s">
        <v>66</v>
      </c>
      <c r="B442" s="90" t="s">
        <v>732</v>
      </c>
      <c r="C442" s="90" t="s">
        <v>733</v>
      </c>
      <c r="D442" s="92">
        <v>25457</v>
      </c>
      <c r="E442" s="92">
        <v>25457</v>
      </c>
      <c r="F442" s="93">
        <v>11617.59</v>
      </c>
      <c r="G442" s="97">
        <v>45.6</v>
      </c>
      <c r="H442" s="90" t="s">
        <v>13</v>
      </c>
      <c r="L442" s="92">
        <v>0</v>
      </c>
    </row>
    <row r="443" spans="1:12" x14ac:dyDescent="0.25">
      <c r="A443" s="90" t="s">
        <v>66</v>
      </c>
      <c r="B443" s="90" t="s">
        <v>734</v>
      </c>
      <c r="C443" s="90" t="s">
        <v>735</v>
      </c>
      <c r="D443" s="92">
        <v>75000</v>
      </c>
      <c r="E443" s="92">
        <v>75000</v>
      </c>
      <c r="F443" s="93">
        <v>75000</v>
      </c>
      <c r="G443" s="97">
        <v>100</v>
      </c>
      <c r="H443" s="90" t="s">
        <v>13</v>
      </c>
      <c r="J443" s="24" t="s">
        <v>152</v>
      </c>
      <c r="L443" s="92">
        <v>0</v>
      </c>
    </row>
    <row r="444" spans="1:12" x14ac:dyDescent="0.25">
      <c r="A444" s="90" t="s">
        <v>66</v>
      </c>
      <c r="B444" s="90" t="s">
        <v>736</v>
      </c>
      <c r="C444" s="90" t="s">
        <v>737</v>
      </c>
      <c r="D444" s="92">
        <v>375000</v>
      </c>
      <c r="E444" s="92">
        <v>495000</v>
      </c>
      <c r="F444" s="93">
        <v>495000</v>
      </c>
      <c r="G444" s="97">
        <v>100</v>
      </c>
      <c r="H444" s="90" t="s">
        <v>13</v>
      </c>
      <c r="L444" s="92">
        <v>120000</v>
      </c>
    </row>
    <row r="445" spans="1:12" x14ac:dyDescent="0.25">
      <c r="A445" s="90" t="s">
        <v>66</v>
      </c>
      <c r="B445" s="90" t="s">
        <v>738</v>
      </c>
      <c r="C445" s="90" t="s">
        <v>739</v>
      </c>
      <c r="D445" s="92">
        <v>40000</v>
      </c>
      <c r="E445" s="92">
        <v>40000</v>
      </c>
      <c r="F445" s="93">
        <v>40000</v>
      </c>
      <c r="G445" s="97">
        <v>100</v>
      </c>
      <c r="H445" s="90" t="s">
        <v>13</v>
      </c>
      <c r="L445" s="92">
        <v>0</v>
      </c>
    </row>
    <row r="446" spans="1:12" x14ac:dyDescent="0.25">
      <c r="A446" s="90" t="s">
        <v>66</v>
      </c>
      <c r="B446" s="90" t="s">
        <v>740</v>
      </c>
      <c r="C446" s="90" t="s">
        <v>741</v>
      </c>
      <c r="D446" s="92">
        <v>100000</v>
      </c>
      <c r="E446" s="92">
        <v>0</v>
      </c>
      <c r="F446" s="93">
        <v>0</v>
      </c>
      <c r="G446" s="97">
        <v>0</v>
      </c>
      <c r="H446" s="90" t="s">
        <v>13</v>
      </c>
      <c r="J446" s="24" t="s">
        <v>152</v>
      </c>
      <c r="L446" s="92">
        <v>-100000</v>
      </c>
    </row>
    <row r="447" spans="1:12" x14ac:dyDescent="0.25">
      <c r="C447" s="91" t="s">
        <v>742</v>
      </c>
      <c r="D447" s="98">
        <f>SUM(D436:D446)</f>
        <v>1352892</v>
      </c>
      <c r="E447" s="98">
        <f t="shared" ref="E447:F447" si="28">SUM(E436:E446)</f>
        <v>1387892</v>
      </c>
      <c r="F447" s="98">
        <f t="shared" si="28"/>
        <v>1374052.5899999999</v>
      </c>
    </row>
    <row r="448" spans="1:12" x14ac:dyDescent="0.25">
      <c r="A448" s="90" t="s">
        <v>68</v>
      </c>
      <c r="B448" s="90" t="s">
        <v>602</v>
      </c>
      <c r="C448" s="90" t="s">
        <v>603</v>
      </c>
      <c r="D448" s="92">
        <v>0</v>
      </c>
      <c r="E448" s="92">
        <v>0</v>
      </c>
      <c r="F448" s="93">
        <v>-206781.62</v>
      </c>
      <c r="G448" s="97">
        <v>100</v>
      </c>
      <c r="H448" s="90" t="s">
        <v>13</v>
      </c>
      <c r="L448" s="92">
        <v>0</v>
      </c>
    </row>
    <row r="449" spans="1:12" x14ac:dyDescent="0.25">
      <c r="A449" s="90" t="s">
        <v>68</v>
      </c>
      <c r="B449" s="90" t="s">
        <v>743</v>
      </c>
      <c r="C449" s="90" t="s">
        <v>744</v>
      </c>
      <c r="D449" s="92">
        <v>11450000</v>
      </c>
      <c r="E449" s="92">
        <v>11450000</v>
      </c>
      <c r="F449" s="93">
        <v>9028965.4000000004</v>
      </c>
      <c r="G449" s="97">
        <v>78.900000000000006</v>
      </c>
      <c r="H449" s="90" t="s">
        <v>13</v>
      </c>
      <c r="L449" s="92">
        <v>0</v>
      </c>
    </row>
    <row r="450" spans="1:12" x14ac:dyDescent="0.25">
      <c r="A450" s="90" t="s">
        <v>68</v>
      </c>
      <c r="B450" s="90" t="s">
        <v>745</v>
      </c>
      <c r="C450" s="90" t="s">
        <v>746</v>
      </c>
      <c r="D450" s="92">
        <v>70000</v>
      </c>
      <c r="E450" s="92">
        <v>70000</v>
      </c>
      <c r="F450" s="93">
        <v>5793.13</v>
      </c>
      <c r="G450" s="97">
        <v>8.3000000000000007</v>
      </c>
      <c r="H450" s="90" t="s">
        <v>13</v>
      </c>
      <c r="I450" s="24" t="s">
        <v>152</v>
      </c>
      <c r="L450" s="92">
        <v>0</v>
      </c>
    </row>
    <row r="451" spans="1:12" x14ac:dyDescent="0.25">
      <c r="C451" s="91" t="s">
        <v>747</v>
      </c>
      <c r="D451" s="98">
        <f>SUM(D448:D450)</f>
        <v>11520000</v>
      </c>
      <c r="E451" s="98">
        <f t="shared" ref="E451:F451" si="29">SUM(E448:E450)</f>
        <v>11520000</v>
      </c>
      <c r="F451" s="98">
        <f t="shared" si="29"/>
        <v>8827976.910000002</v>
      </c>
      <c r="L451" s="98">
        <f>SUM(L172:L450)</f>
        <v>-46554.16</v>
      </c>
    </row>
    <row r="452" spans="1:12" x14ac:dyDescent="0.25">
      <c r="A452" s="90" t="s">
        <v>69</v>
      </c>
      <c r="B452" s="90" t="s">
        <v>592</v>
      </c>
      <c r="C452" s="90" t="s">
        <v>593</v>
      </c>
      <c r="D452" s="92">
        <v>17506492</v>
      </c>
      <c r="E452" s="92">
        <v>18407977</v>
      </c>
      <c r="F452" s="93">
        <v>18407976.079999998</v>
      </c>
      <c r="G452" s="97">
        <v>100</v>
      </c>
      <c r="H452" s="90" t="s">
        <v>13</v>
      </c>
      <c r="L452" s="92">
        <v>901485</v>
      </c>
    </row>
    <row r="453" spans="1:12" x14ac:dyDescent="0.25">
      <c r="A453" s="90" t="s">
        <v>69</v>
      </c>
      <c r="B453" s="90" t="s">
        <v>594</v>
      </c>
      <c r="C453" s="90" t="s">
        <v>595</v>
      </c>
      <c r="D453" s="92">
        <v>933047</v>
      </c>
      <c r="E453" s="92">
        <v>331474</v>
      </c>
      <c r="F453" s="93">
        <v>329159.39</v>
      </c>
      <c r="G453" s="97">
        <v>99.3</v>
      </c>
      <c r="H453" s="90" t="s">
        <v>13</v>
      </c>
      <c r="L453" s="92">
        <v>-601573</v>
      </c>
    </row>
    <row r="454" spans="1:12" x14ac:dyDescent="0.25">
      <c r="A454" s="90" t="s">
        <v>69</v>
      </c>
      <c r="B454" s="90" t="s">
        <v>748</v>
      </c>
      <c r="C454" s="90" t="s">
        <v>749</v>
      </c>
      <c r="D454" s="92">
        <v>136680</v>
      </c>
      <c r="E454" s="92">
        <v>30273</v>
      </c>
      <c r="F454" s="93">
        <v>30272.18</v>
      </c>
      <c r="G454" s="97">
        <v>100</v>
      </c>
      <c r="H454" s="90" t="s">
        <v>13</v>
      </c>
      <c r="L454" s="92">
        <v>-106407</v>
      </c>
    </row>
    <row r="455" spans="1:12" x14ac:dyDescent="0.25">
      <c r="A455" s="90" t="s">
        <v>69</v>
      </c>
      <c r="B455" s="90" t="s">
        <v>596</v>
      </c>
      <c r="C455" s="90" t="s">
        <v>597</v>
      </c>
      <c r="D455" s="92">
        <v>1151726</v>
      </c>
      <c r="E455" s="92">
        <v>1131726</v>
      </c>
      <c r="F455" s="93">
        <v>1130640.24</v>
      </c>
      <c r="G455" s="97">
        <v>99.9</v>
      </c>
      <c r="H455" s="90" t="s">
        <v>13</v>
      </c>
      <c r="L455" s="92">
        <v>-20000</v>
      </c>
    </row>
    <row r="456" spans="1:12" x14ac:dyDescent="0.25">
      <c r="A456" s="90" t="s">
        <v>69</v>
      </c>
      <c r="B456" s="90" t="s">
        <v>598</v>
      </c>
      <c r="C456" s="90" t="s">
        <v>599</v>
      </c>
      <c r="D456" s="92">
        <v>269355</v>
      </c>
      <c r="E456" s="92">
        <v>278355</v>
      </c>
      <c r="F456" s="93">
        <v>265193.23</v>
      </c>
      <c r="G456" s="97">
        <v>95.3</v>
      </c>
      <c r="H456" s="90" t="s">
        <v>13</v>
      </c>
      <c r="L456" s="92">
        <v>9000</v>
      </c>
    </row>
    <row r="457" spans="1:12" x14ac:dyDescent="0.25">
      <c r="A457" s="90" t="s">
        <v>69</v>
      </c>
      <c r="B457" s="90" t="s">
        <v>600</v>
      </c>
      <c r="C457" s="90" t="s">
        <v>601</v>
      </c>
      <c r="D457" s="92">
        <v>888625</v>
      </c>
      <c r="E457" s="92">
        <v>904439</v>
      </c>
      <c r="F457" s="93">
        <v>878093.03</v>
      </c>
      <c r="G457" s="97">
        <v>97.1</v>
      </c>
      <c r="H457" s="90" t="s">
        <v>13</v>
      </c>
      <c r="L457" s="92">
        <v>15814</v>
      </c>
    </row>
    <row r="458" spans="1:12" x14ac:dyDescent="0.25">
      <c r="A458" s="90" t="s">
        <v>69</v>
      </c>
      <c r="B458" s="90" t="s">
        <v>602</v>
      </c>
      <c r="C458" s="90" t="s">
        <v>603</v>
      </c>
      <c r="D458" s="92">
        <v>2869378</v>
      </c>
      <c r="E458" s="92">
        <v>2764378</v>
      </c>
      <c r="F458" s="93">
        <v>2742920.09</v>
      </c>
      <c r="G458" s="97">
        <v>99.2</v>
      </c>
      <c r="H458" s="90" t="s">
        <v>13</v>
      </c>
      <c r="L458" s="92">
        <v>-105000</v>
      </c>
    </row>
    <row r="459" spans="1:12" x14ac:dyDescent="0.25">
      <c r="A459" s="90" t="s">
        <v>69</v>
      </c>
      <c r="B459" s="90" t="s">
        <v>714</v>
      </c>
      <c r="C459" s="90" t="s">
        <v>715</v>
      </c>
      <c r="D459" s="92">
        <v>2095</v>
      </c>
      <c r="E459" s="92">
        <v>2095</v>
      </c>
      <c r="F459" s="93">
        <v>1371.51</v>
      </c>
      <c r="G459" s="97">
        <v>65.5</v>
      </c>
      <c r="H459" s="90" t="s">
        <v>13</v>
      </c>
      <c r="L459" s="92">
        <v>0</v>
      </c>
    </row>
    <row r="460" spans="1:12" x14ac:dyDescent="0.25">
      <c r="A460" s="90" t="s">
        <v>69</v>
      </c>
      <c r="B460" s="90" t="s">
        <v>604</v>
      </c>
      <c r="C460" s="90" t="s">
        <v>605</v>
      </c>
      <c r="D460" s="92">
        <v>7755</v>
      </c>
      <c r="E460" s="92">
        <v>12694</v>
      </c>
      <c r="F460" s="93">
        <v>6837.99</v>
      </c>
      <c r="G460" s="97">
        <v>53.9</v>
      </c>
      <c r="H460" s="90" t="s">
        <v>13</v>
      </c>
      <c r="L460" s="92">
        <v>4939</v>
      </c>
    </row>
    <row r="461" spans="1:12" x14ac:dyDescent="0.25">
      <c r="A461" s="90" t="s">
        <v>69</v>
      </c>
      <c r="B461" s="90" t="s">
        <v>606</v>
      </c>
      <c r="C461" s="90" t="s">
        <v>607</v>
      </c>
      <c r="D461" s="92">
        <v>12925</v>
      </c>
      <c r="E461" s="92">
        <v>22146</v>
      </c>
      <c r="F461" s="93">
        <v>22145.31</v>
      </c>
      <c r="G461" s="97">
        <v>100</v>
      </c>
      <c r="H461" s="90" t="s">
        <v>13</v>
      </c>
      <c r="L461" s="92">
        <v>9221</v>
      </c>
    </row>
    <row r="462" spans="1:12" x14ac:dyDescent="0.25">
      <c r="A462" s="90" t="s">
        <v>69</v>
      </c>
      <c r="B462" s="90" t="s">
        <v>608</v>
      </c>
      <c r="C462" s="90" t="s">
        <v>609</v>
      </c>
      <c r="D462" s="92">
        <v>12264</v>
      </c>
      <c r="E462" s="92">
        <v>19749</v>
      </c>
      <c r="F462" s="93">
        <v>17005.740000000002</v>
      </c>
      <c r="G462" s="97">
        <v>86.1</v>
      </c>
      <c r="H462" s="90" t="s">
        <v>13</v>
      </c>
      <c r="L462" s="92">
        <v>7485</v>
      </c>
    </row>
    <row r="463" spans="1:12" x14ac:dyDescent="0.25">
      <c r="A463" s="90" t="s">
        <v>69</v>
      </c>
      <c r="B463" s="90" t="s">
        <v>674</v>
      </c>
      <c r="C463" s="90" t="s">
        <v>675</v>
      </c>
      <c r="D463" s="92">
        <v>19390</v>
      </c>
      <c r="E463" s="92">
        <v>875</v>
      </c>
      <c r="F463" s="93">
        <v>875</v>
      </c>
      <c r="G463" s="97">
        <v>100</v>
      </c>
      <c r="H463" s="90" t="s">
        <v>13</v>
      </c>
      <c r="L463" s="92">
        <v>-18515</v>
      </c>
    </row>
    <row r="464" spans="1:12" x14ac:dyDescent="0.25">
      <c r="A464" s="90" t="s">
        <v>69</v>
      </c>
      <c r="B464" s="90" t="s">
        <v>709</v>
      </c>
      <c r="C464" s="90" t="s">
        <v>710</v>
      </c>
      <c r="D464" s="92">
        <v>248320</v>
      </c>
      <c r="E464" s="92">
        <v>224908</v>
      </c>
      <c r="F464" s="93">
        <v>224907.29</v>
      </c>
      <c r="G464" s="97">
        <v>100</v>
      </c>
      <c r="H464" s="90" t="s">
        <v>13</v>
      </c>
      <c r="L464" s="92">
        <v>-23412</v>
      </c>
    </row>
    <row r="465" spans="1:12" x14ac:dyDescent="0.25">
      <c r="A465" s="90" t="s">
        <v>69</v>
      </c>
      <c r="B465" s="90" t="s">
        <v>750</v>
      </c>
      <c r="C465" s="90" t="s">
        <v>751</v>
      </c>
      <c r="D465" s="92">
        <v>0</v>
      </c>
      <c r="E465" s="92">
        <v>0</v>
      </c>
      <c r="F465" s="93">
        <v>-3642.05</v>
      </c>
      <c r="G465" s="97">
        <v>100</v>
      </c>
      <c r="H465" s="90" t="s">
        <v>13</v>
      </c>
      <c r="L465" s="92">
        <v>0</v>
      </c>
    </row>
    <row r="466" spans="1:12" x14ac:dyDescent="0.25">
      <c r="A466" s="90" t="s">
        <v>69</v>
      </c>
      <c r="B466" s="90" t="s">
        <v>752</v>
      </c>
      <c r="C466" s="90" t="s">
        <v>753</v>
      </c>
      <c r="D466" s="92">
        <v>0</v>
      </c>
      <c r="E466" s="92">
        <v>25</v>
      </c>
      <c r="F466" s="93">
        <v>25</v>
      </c>
      <c r="G466" s="97">
        <v>100</v>
      </c>
      <c r="H466" s="90" t="s">
        <v>13</v>
      </c>
      <c r="L466" s="92">
        <v>25</v>
      </c>
    </row>
    <row r="467" spans="1:12" x14ac:dyDescent="0.25">
      <c r="A467" s="90" t="s">
        <v>69</v>
      </c>
      <c r="B467" s="90" t="s">
        <v>634</v>
      </c>
      <c r="C467" s="90" t="s">
        <v>635</v>
      </c>
      <c r="D467" s="92">
        <v>2159163</v>
      </c>
      <c r="E467" s="92">
        <v>2321514</v>
      </c>
      <c r="F467" s="93">
        <v>2308379.5499999998</v>
      </c>
      <c r="G467" s="97">
        <v>99.4</v>
      </c>
      <c r="H467" s="90" t="s">
        <v>13</v>
      </c>
      <c r="L467" s="92">
        <v>162351</v>
      </c>
    </row>
    <row r="468" spans="1:12" x14ac:dyDescent="0.25">
      <c r="A468" s="90" t="s">
        <v>69</v>
      </c>
      <c r="B468" s="90" t="s">
        <v>636</v>
      </c>
      <c r="C468" s="90" t="s">
        <v>637</v>
      </c>
      <c r="D468" s="92">
        <v>51211</v>
      </c>
      <c r="E468" s="92">
        <v>29711</v>
      </c>
      <c r="F468" s="93">
        <v>28630.400000000001</v>
      </c>
      <c r="G468" s="97">
        <v>96.4</v>
      </c>
      <c r="H468" s="90" t="s">
        <v>13</v>
      </c>
      <c r="L468" s="92">
        <v>-21500</v>
      </c>
    </row>
    <row r="469" spans="1:12" x14ac:dyDescent="0.25">
      <c r="A469" s="90" t="s">
        <v>69</v>
      </c>
      <c r="B469" s="90" t="s">
        <v>754</v>
      </c>
      <c r="C469" s="90" t="s">
        <v>755</v>
      </c>
      <c r="D469" s="92">
        <v>115000</v>
      </c>
      <c r="E469" s="92">
        <v>73411</v>
      </c>
      <c r="F469" s="93">
        <v>73410.789999999994</v>
      </c>
      <c r="G469" s="97">
        <v>100</v>
      </c>
      <c r="H469" s="90" t="s">
        <v>13</v>
      </c>
      <c r="L469" s="92">
        <v>-41589</v>
      </c>
    </row>
    <row r="470" spans="1:12" x14ac:dyDescent="0.25">
      <c r="A470" s="90" t="s">
        <v>69</v>
      </c>
      <c r="B470" s="90" t="s">
        <v>610</v>
      </c>
      <c r="C470" s="90" t="s">
        <v>611</v>
      </c>
      <c r="D470" s="92">
        <v>21785</v>
      </c>
      <c r="E470" s="92">
        <v>21785</v>
      </c>
      <c r="F470" s="93">
        <v>21039.47</v>
      </c>
      <c r="G470" s="97">
        <v>96.6</v>
      </c>
      <c r="H470" s="90" t="s">
        <v>13</v>
      </c>
      <c r="L470" s="92">
        <v>0</v>
      </c>
    </row>
    <row r="471" spans="1:12" x14ac:dyDescent="0.25">
      <c r="A471" s="90" t="s">
        <v>69</v>
      </c>
      <c r="B471" s="90" t="s">
        <v>756</v>
      </c>
      <c r="C471" s="90" t="s">
        <v>757</v>
      </c>
      <c r="D471" s="92">
        <v>29214</v>
      </c>
      <c r="E471" s="92">
        <v>29214</v>
      </c>
      <c r="F471" s="93">
        <v>24387.65</v>
      </c>
      <c r="G471" s="97">
        <v>83.5</v>
      </c>
      <c r="H471" s="90" t="s">
        <v>13</v>
      </c>
      <c r="L471" s="92">
        <v>0</v>
      </c>
    </row>
    <row r="472" spans="1:12" x14ac:dyDescent="0.25">
      <c r="A472" s="90" t="s">
        <v>69</v>
      </c>
      <c r="B472" s="90" t="s">
        <v>612</v>
      </c>
      <c r="C472" s="90" t="s">
        <v>613</v>
      </c>
      <c r="D472" s="92">
        <v>52911</v>
      </c>
      <c r="E472" s="92">
        <v>67609</v>
      </c>
      <c r="F472" s="93">
        <v>66048.649999999994</v>
      </c>
      <c r="G472" s="97">
        <v>97.7</v>
      </c>
      <c r="H472" s="90" t="s">
        <v>13</v>
      </c>
      <c r="L472" s="92">
        <v>14698</v>
      </c>
    </row>
    <row r="473" spans="1:12" x14ac:dyDescent="0.25">
      <c r="A473" s="90" t="s">
        <v>69</v>
      </c>
      <c r="B473" s="90" t="s">
        <v>682</v>
      </c>
      <c r="C473" s="90" t="s">
        <v>683</v>
      </c>
      <c r="D473" s="92">
        <v>91361</v>
      </c>
      <c r="E473" s="92">
        <v>81361</v>
      </c>
      <c r="F473" s="93">
        <v>69568.740000000005</v>
      </c>
      <c r="G473" s="97">
        <v>85.5</v>
      </c>
      <c r="H473" s="90" t="s">
        <v>13</v>
      </c>
      <c r="L473" s="92">
        <v>-10000</v>
      </c>
    </row>
    <row r="474" spans="1:12" x14ac:dyDescent="0.25">
      <c r="A474" s="90" t="s">
        <v>69</v>
      </c>
      <c r="B474" s="90" t="s">
        <v>631</v>
      </c>
      <c r="C474" s="90" t="s">
        <v>632</v>
      </c>
      <c r="D474" s="92">
        <v>77322</v>
      </c>
      <c r="E474" s="92">
        <v>83655</v>
      </c>
      <c r="F474" s="93">
        <v>83654.03</v>
      </c>
      <c r="G474" s="97">
        <v>100</v>
      </c>
      <c r="H474" s="90" t="s">
        <v>13</v>
      </c>
      <c r="L474" s="92">
        <v>6333</v>
      </c>
    </row>
    <row r="475" spans="1:12" x14ac:dyDescent="0.25">
      <c r="A475" s="90" t="s">
        <v>69</v>
      </c>
      <c r="B475" s="90" t="s">
        <v>758</v>
      </c>
      <c r="C475" s="90" t="s">
        <v>759</v>
      </c>
      <c r="D475" s="92">
        <v>0</v>
      </c>
      <c r="E475" s="92">
        <v>0</v>
      </c>
      <c r="F475" s="93">
        <v>-28851</v>
      </c>
      <c r="G475" s="97">
        <v>100</v>
      </c>
      <c r="H475" s="90" t="s">
        <v>13</v>
      </c>
      <c r="L475" s="92">
        <v>0</v>
      </c>
    </row>
    <row r="476" spans="1:12" x14ac:dyDescent="0.25">
      <c r="A476" s="90" t="s">
        <v>69</v>
      </c>
      <c r="B476" s="90" t="s">
        <v>616</v>
      </c>
      <c r="C476" s="90" t="s">
        <v>617</v>
      </c>
      <c r="D476" s="92">
        <v>57037</v>
      </c>
      <c r="E476" s="92">
        <v>67219</v>
      </c>
      <c r="F476" s="93">
        <v>67218.210000000006</v>
      </c>
      <c r="G476" s="97">
        <v>100</v>
      </c>
      <c r="H476" s="90" t="s">
        <v>13</v>
      </c>
      <c r="L476" s="92">
        <v>10182</v>
      </c>
    </row>
    <row r="477" spans="1:12" x14ac:dyDescent="0.25">
      <c r="A477" s="90" t="s">
        <v>69</v>
      </c>
      <c r="B477" s="90" t="s">
        <v>618</v>
      </c>
      <c r="C477" s="90" t="s">
        <v>619</v>
      </c>
      <c r="D477" s="92">
        <v>104320</v>
      </c>
      <c r="E477" s="92">
        <v>194821</v>
      </c>
      <c r="F477" s="93">
        <v>191990.07</v>
      </c>
      <c r="G477" s="97">
        <v>98.5</v>
      </c>
      <c r="H477" s="90" t="s">
        <v>13</v>
      </c>
      <c r="L477" s="92">
        <v>90501</v>
      </c>
    </row>
    <row r="478" spans="1:12" x14ac:dyDescent="0.25">
      <c r="A478" s="90" t="s">
        <v>69</v>
      </c>
      <c r="B478" s="90" t="s">
        <v>638</v>
      </c>
      <c r="C478" s="90" t="s">
        <v>639</v>
      </c>
      <c r="D478" s="92">
        <v>1985</v>
      </c>
      <c r="E478" s="92">
        <v>6221</v>
      </c>
      <c r="F478" s="93">
        <v>6220.86</v>
      </c>
      <c r="G478" s="97">
        <v>100</v>
      </c>
      <c r="H478" s="90" t="s">
        <v>13</v>
      </c>
      <c r="L478" s="92">
        <v>4236</v>
      </c>
    </row>
    <row r="479" spans="1:12" x14ac:dyDescent="0.25">
      <c r="A479" s="90" t="s">
        <v>69</v>
      </c>
      <c r="B479" s="90" t="s">
        <v>760</v>
      </c>
      <c r="C479" s="90" t="s">
        <v>761</v>
      </c>
      <c r="D479" s="92">
        <v>14688</v>
      </c>
      <c r="E479" s="92">
        <v>33036</v>
      </c>
      <c r="F479" s="93">
        <v>33035.769999999997</v>
      </c>
      <c r="G479" s="97">
        <v>100</v>
      </c>
      <c r="H479" s="90" t="s">
        <v>13</v>
      </c>
      <c r="L479" s="92">
        <v>18348</v>
      </c>
    </row>
    <row r="480" spans="1:12" x14ac:dyDescent="0.25">
      <c r="A480" s="90" t="s">
        <v>69</v>
      </c>
      <c r="B480" s="90" t="s">
        <v>762</v>
      </c>
      <c r="C480" s="90" t="s">
        <v>763</v>
      </c>
      <c r="D480" s="92">
        <v>25517</v>
      </c>
      <c r="E480" s="92">
        <v>102166</v>
      </c>
      <c r="F480" s="93">
        <v>102165.8</v>
      </c>
      <c r="G480" s="97">
        <v>100</v>
      </c>
      <c r="H480" s="90" t="s">
        <v>13</v>
      </c>
      <c r="L480" s="92">
        <v>76649</v>
      </c>
    </row>
    <row r="481" spans="1:12" x14ac:dyDescent="0.25">
      <c r="A481" s="90" t="s">
        <v>69</v>
      </c>
      <c r="B481" s="90" t="s">
        <v>622</v>
      </c>
      <c r="C481" s="90" t="s">
        <v>623</v>
      </c>
      <c r="D481" s="92">
        <v>522459</v>
      </c>
      <c r="E481" s="92">
        <v>461805</v>
      </c>
      <c r="F481" s="93">
        <v>461804.64</v>
      </c>
      <c r="G481" s="97">
        <v>100</v>
      </c>
      <c r="H481" s="90" t="s">
        <v>13</v>
      </c>
      <c r="L481" s="92">
        <v>-60654</v>
      </c>
    </row>
    <row r="482" spans="1:12" x14ac:dyDescent="0.25">
      <c r="A482" s="90" t="s">
        <v>69</v>
      </c>
      <c r="B482" s="90" t="s">
        <v>663</v>
      </c>
      <c r="C482" s="90" t="s">
        <v>664</v>
      </c>
      <c r="D482" s="92">
        <v>380707</v>
      </c>
      <c r="E482" s="92">
        <v>233871</v>
      </c>
      <c r="F482" s="93">
        <v>228094.77</v>
      </c>
      <c r="G482" s="97">
        <v>97.5</v>
      </c>
      <c r="H482" s="90" t="s">
        <v>13</v>
      </c>
      <c r="L482" s="92">
        <v>-146836</v>
      </c>
    </row>
    <row r="483" spans="1:12" x14ac:dyDescent="0.25">
      <c r="A483" s="90" t="s">
        <v>69</v>
      </c>
      <c r="B483" s="90" t="s">
        <v>706</v>
      </c>
      <c r="C483" s="90" t="s">
        <v>707</v>
      </c>
      <c r="D483" s="92">
        <v>614271</v>
      </c>
      <c r="E483" s="92">
        <v>681271</v>
      </c>
      <c r="F483" s="93">
        <v>675023.32</v>
      </c>
      <c r="G483" s="97">
        <v>99.1</v>
      </c>
      <c r="H483" s="90" t="s">
        <v>13</v>
      </c>
      <c r="L483" s="92">
        <v>67000</v>
      </c>
    </row>
    <row r="484" spans="1:12" x14ac:dyDescent="0.25">
      <c r="A484" s="90" t="s">
        <v>69</v>
      </c>
      <c r="B484" s="90" t="s">
        <v>654</v>
      </c>
      <c r="C484" s="90" t="s">
        <v>655</v>
      </c>
      <c r="D484" s="92">
        <v>0</v>
      </c>
      <c r="E484" s="92">
        <v>15702</v>
      </c>
      <c r="F484" s="93">
        <v>15701.47</v>
      </c>
      <c r="G484" s="97">
        <v>100</v>
      </c>
      <c r="H484" s="90" t="s">
        <v>13</v>
      </c>
      <c r="L484" s="92">
        <v>15702</v>
      </c>
    </row>
    <row r="485" spans="1:12" x14ac:dyDescent="0.25">
      <c r="A485" s="90" t="s">
        <v>69</v>
      </c>
      <c r="B485" s="90" t="s">
        <v>624</v>
      </c>
      <c r="C485" s="90" t="s">
        <v>625</v>
      </c>
      <c r="D485" s="92">
        <v>702809</v>
      </c>
      <c r="E485" s="92">
        <v>701984</v>
      </c>
      <c r="F485" s="93">
        <v>701147.45</v>
      </c>
      <c r="G485" s="97">
        <v>99.9</v>
      </c>
      <c r="H485" s="90" t="s">
        <v>13</v>
      </c>
      <c r="I485" s="24" t="s">
        <v>152</v>
      </c>
      <c r="L485" s="92">
        <v>-825</v>
      </c>
    </row>
    <row r="486" spans="1:12" x14ac:dyDescent="0.25">
      <c r="A486" s="90" t="s">
        <v>69</v>
      </c>
      <c r="B486" s="90" t="s">
        <v>764</v>
      </c>
      <c r="C486" s="90" t="s">
        <v>765</v>
      </c>
      <c r="D486" s="92">
        <v>0</v>
      </c>
      <c r="E486" s="92">
        <v>176</v>
      </c>
      <c r="F486" s="93">
        <v>175.66</v>
      </c>
      <c r="G486" s="97">
        <v>99.8</v>
      </c>
      <c r="H486" s="90" t="s">
        <v>13</v>
      </c>
      <c r="L486" s="92">
        <v>176</v>
      </c>
    </row>
    <row r="487" spans="1:12" x14ac:dyDescent="0.25">
      <c r="A487" s="90" t="s">
        <v>69</v>
      </c>
      <c r="B487" s="90" t="s">
        <v>766</v>
      </c>
      <c r="C487" s="90" t="s">
        <v>767</v>
      </c>
      <c r="D487" s="92">
        <v>58864</v>
      </c>
      <c r="E487" s="92">
        <v>46608</v>
      </c>
      <c r="F487" s="93">
        <v>46607.62</v>
      </c>
      <c r="G487" s="97">
        <v>100</v>
      </c>
      <c r="H487" s="90" t="s">
        <v>13</v>
      </c>
      <c r="L487" s="92">
        <v>-12256</v>
      </c>
    </row>
    <row r="488" spans="1:12" x14ac:dyDescent="0.25">
      <c r="A488" s="90" t="s">
        <v>69</v>
      </c>
      <c r="B488" s="90" t="s">
        <v>646</v>
      </c>
      <c r="C488" s="90" t="s">
        <v>647</v>
      </c>
      <c r="D488" s="92">
        <v>157660</v>
      </c>
      <c r="E488" s="92">
        <v>34024</v>
      </c>
      <c r="F488" s="93">
        <v>34023.07</v>
      </c>
      <c r="G488" s="97">
        <v>100</v>
      </c>
      <c r="H488" s="90" t="s">
        <v>13</v>
      </c>
      <c r="L488" s="92">
        <v>-123636</v>
      </c>
    </row>
    <row r="489" spans="1:12" x14ac:dyDescent="0.25">
      <c r="A489" s="90" t="s">
        <v>69</v>
      </c>
      <c r="B489" s="90" t="s">
        <v>768</v>
      </c>
      <c r="C489" s="90" t="s">
        <v>769</v>
      </c>
      <c r="D489" s="92">
        <v>0</v>
      </c>
      <c r="E489" s="92">
        <v>1</v>
      </c>
      <c r="F489" s="93">
        <v>0</v>
      </c>
      <c r="G489" s="97">
        <v>0</v>
      </c>
      <c r="H489" s="90" t="s">
        <v>13</v>
      </c>
      <c r="L489" s="92">
        <v>1</v>
      </c>
    </row>
    <row r="490" spans="1:12" x14ac:dyDescent="0.25">
      <c r="A490" s="90" t="s">
        <v>69</v>
      </c>
      <c r="B490" s="90" t="s">
        <v>671</v>
      </c>
      <c r="C490" s="90" t="s">
        <v>672</v>
      </c>
      <c r="D490" s="92">
        <v>0</v>
      </c>
      <c r="E490" s="92">
        <v>10000</v>
      </c>
      <c r="F490" s="93">
        <v>10000</v>
      </c>
      <c r="G490" s="97">
        <v>100</v>
      </c>
      <c r="H490" s="90" t="s">
        <v>13</v>
      </c>
      <c r="L490" s="92">
        <v>10000</v>
      </c>
    </row>
    <row r="491" spans="1:12" x14ac:dyDescent="0.25">
      <c r="C491" s="91" t="s">
        <v>770</v>
      </c>
      <c r="D491" s="98">
        <f>SUM(D452:D490)</f>
        <v>29296336</v>
      </c>
      <c r="E491" s="98">
        <f t="shared" ref="E491:F491" si="30">SUM(E452:E490)</f>
        <v>29428279</v>
      </c>
      <c r="F491" s="98">
        <f t="shared" si="30"/>
        <v>29273257.019999988</v>
      </c>
      <c r="J491" s="24" t="s">
        <v>152</v>
      </c>
    </row>
    <row r="492" spans="1:12" x14ac:dyDescent="0.25">
      <c r="A492" s="90" t="s">
        <v>771</v>
      </c>
      <c r="B492" s="90" t="s">
        <v>592</v>
      </c>
      <c r="C492" s="90" t="s">
        <v>593</v>
      </c>
      <c r="D492" s="92">
        <v>0</v>
      </c>
      <c r="E492" s="92">
        <v>0</v>
      </c>
      <c r="F492" s="93">
        <v>255841.81</v>
      </c>
      <c r="G492" s="97">
        <v>100</v>
      </c>
      <c r="H492" s="90" t="s">
        <v>158</v>
      </c>
      <c r="L492" s="92">
        <v>0</v>
      </c>
    </row>
    <row r="493" spans="1:12" x14ac:dyDescent="0.25">
      <c r="A493" s="90" t="s">
        <v>771</v>
      </c>
      <c r="B493" s="90" t="s">
        <v>596</v>
      </c>
      <c r="C493" s="90" t="s">
        <v>597</v>
      </c>
      <c r="D493" s="92">
        <v>0</v>
      </c>
      <c r="E493" s="92">
        <v>0</v>
      </c>
      <c r="F493" s="93">
        <v>15384.64</v>
      </c>
      <c r="G493" s="97">
        <v>100</v>
      </c>
      <c r="H493" s="90" t="s">
        <v>158</v>
      </c>
      <c r="L493" s="92">
        <v>0</v>
      </c>
    </row>
    <row r="494" spans="1:12" x14ac:dyDescent="0.25">
      <c r="A494" s="90" t="s">
        <v>771</v>
      </c>
      <c r="B494" s="90" t="s">
        <v>598</v>
      </c>
      <c r="C494" s="90" t="s">
        <v>599</v>
      </c>
      <c r="D494" s="92">
        <v>0</v>
      </c>
      <c r="E494" s="92">
        <v>0</v>
      </c>
      <c r="F494" s="93">
        <v>3598</v>
      </c>
      <c r="G494" s="97">
        <v>100</v>
      </c>
      <c r="H494" s="90" t="s">
        <v>158</v>
      </c>
      <c r="L494" s="92">
        <v>0</v>
      </c>
    </row>
    <row r="495" spans="1:12" x14ac:dyDescent="0.25">
      <c r="A495" s="90" t="s">
        <v>771</v>
      </c>
      <c r="B495" s="90" t="s">
        <v>600</v>
      </c>
      <c r="C495" s="90" t="s">
        <v>601</v>
      </c>
      <c r="D495" s="92">
        <v>0</v>
      </c>
      <c r="E495" s="92">
        <v>0</v>
      </c>
      <c r="F495" s="93">
        <v>42475.63</v>
      </c>
      <c r="G495" s="97">
        <v>100</v>
      </c>
      <c r="H495" s="90" t="s">
        <v>158</v>
      </c>
      <c r="L495" s="92">
        <v>0</v>
      </c>
    </row>
    <row r="496" spans="1:12" x14ac:dyDescent="0.25">
      <c r="A496" s="90" t="s">
        <v>771</v>
      </c>
      <c r="B496" s="90" t="s">
        <v>602</v>
      </c>
      <c r="C496" s="90" t="s">
        <v>603</v>
      </c>
      <c r="D496" s="92">
        <v>0</v>
      </c>
      <c r="E496" s="92">
        <v>0</v>
      </c>
      <c r="F496" s="93">
        <v>2735.61</v>
      </c>
      <c r="G496" s="97">
        <v>100</v>
      </c>
      <c r="H496" s="90" t="s">
        <v>158</v>
      </c>
      <c r="L496" s="92">
        <v>0</v>
      </c>
    </row>
    <row r="497" spans="1:12" x14ac:dyDescent="0.25">
      <c r="A497" s="90" t="s">
        <v>771</v>
      </c>
      <c r="B497" s="90" t="s">
        <v>618</v>
      </c>
      <c r="C497" s="90" t="s">
        <v>619</v>
      </c>
      <c r="D497" s="92">
        <v>0</v>
      </c>
      <c r="E497" s="92">
        <v>0</v>
      </c>
      <c r="F497" s="93">
        <v>943.22</v>
      </c>
      <c r="G497" s="97">
        <v>100</v>
      </c>
      <c r="H497" s="90" t="s">
        <v>158</v>
      </c>
      <c r="L497" s="92">
        <v>0</v>
      </c>
    </row>
    <row r="498" spans="1:12" x14ac:dyDescent="0.25">
      <c r="A498" s="90" t="s">
        <v>771</v>
      </c>
      <c r="B498" s="90" t="s">
        <v>622</v>
      </c>
      <c r="C498" s="90" t="s">
        <v>623</v>
      </c>
      <c r="D498" s="92">
        <v>0</v>
      </c>
      <c r="E498" s="92">
        <v>0</v>
      </c>
      <c r="F498" s="93">
        <v>3557.38</v>
      </c>
      <c r="G498" s="97">
        <v>100</v>
      </c>
      <c r="H498" s="90" t="s">
        <v>158</v>
      </c>
      <c r="L498" s="92">
        <v>0</v>
      </c>
    </row>
    <row r="499" spans="1:12" x14ac:dyDescent="0.25">
      <c r="A499" s="90" t="s">
        <v>771</v>
      </c>
      <c r="B499" s="90" t="s">
        <v>772</v>
      </c>
      <c r="C499" s="90" t="s">
        <v>773</v>
      </c>
      <c r="D499" s="92">
        <v>0</v>
      </c>
      <c r="E499" s="92">
        <v>0</v>
      </c>
      <c r="F499" s="93">
        <v>-82.09</v>
      </c>
      <c r="G499" s="97">
        <v>100</v>
      </c>
      <c r="H499" s="90" t="s">
        <v>13</v>
      </c>
      <c r="L499" s="92">
        <v>0</v>
      </c>
    </row>
    <row r="500" spans="1:12" x14ac:dyDescent="0.25">
      <c r="A500" s="90" t="s">
        <v>771</v>
      </c>
      <c r="B500" s="90" t="s">
        <v>774</v>
      </c>
      <c r="C500" s="90" t="s">
        <v>775</v>
      </c>
      <c r="D500" s="92">
        <v>0</v>
      </c>
      <c r="E500" s="92">
        <v>0</v>
      </c>
      <c r="F500" s="93">
        <v>1314.09</v>
      </c>
      <c r="G500" s="97">
        <v>100</v>
      </c>
      <c r="H500" s="90" t="s">
        <v>158</v>
      </c>
      <c r="L500" s="92">
        <v>0</v>
      </c>
    </row>
    <row r="501" spans="1:12" x14ac:dyDescent="0.25">
      <c r="A501" s="90" t="s">
        <v>771</v>
      </c>
      <c r="B501" s="90" t="s">
        <v>706</v>
      </c>
      <c r="C501" s="90" t="s">
        <v>707</v>
      </c>
      <c r="D501" s="92">
        <v>0</v>
      </c>
      <c r="E501" s="92">
        <v>0</v>
      </c>
      <c r="F501" s="93">
        <v>1231.26</v>
      </c>
      <c r="G501" s="97">
        <v>100</v>
      </c>
      <c r="H501" s="90" t="s">
        <v>158</v>
      </c>
      <c r="L501" s="92">
        <v>0</v>
      </c>
    </row>
    <row r="502" spans="1:12" x14ac:dyDescent="0.25">
      <c r="C502" s="91" t="s">
        <v>776</v>
      </c>
      <c r="D502" s="98">
        <f>SUM(D492:D501)</f>
        <v>0</v>
      </c>
      <c r="E502" s="98">
        <f t="shared" ref="E502:F502" si="31">SUM(E492:E501)</f>
        <v>0</v>
      </c>
      <c r="F502" s="98">
        <f t="shared" si="31"/>
        <v>326999.55</v>
      </c>
    </row>
    <row r="503" spans="1:12" x14ac:dyDescent="0.25">
      <c r="A503" s="90" t="s">
        <v>70</v>
      </c>
      <c r="B503" s="90" t="s">
        <v>592</v>
      </c>
      <c r="C503" s="90" t="s">
        <v>593</v>
      </c>
      <c r="D503" s="92">
        <v>6250000</v>
      </c>
      <c r="E503" s="92">
        <v>5356570</v>
      </c>
      <c r="F503" s="93">
        <v>5020378.08</v>
      </c>
      <c r="G503" s="97">
        <v>93.7</v>
      </c>
      <c r="H503" s="90" t="s">
        <v>13</v>
      </c>
      <c r="L503" s="92">
        <v>-893430</v>
      </c>
    </row>
    <row r="504" spans="1:12" x14ac:dyDescent="0.25">
      <c r="A504" s="90" t="s">
        <v>70</v>
      </c>
      <c r="B504" s="90" t="s">
        <v>594</v>
      </c>
      <c r="C504" s="90" t="s">
        <v>595</v>
      </c>
      <c r="D504" s="92">
        <v>2600000</v>
      </c>
      <c r="E504" s="92">
        <v>3114000</v>
      </c>
      <c r="F504" s="93">
        <v>3112051.92</v>
      </c>
      <c r="G504" s="97">
        <v>99.9</v>
      </c>
      <c r="H504" s="90" t="s">
        <v>13</v>
      </c>
      <c r="L504" s="92">
        <v>514000</v>
      </c>
    </row>
    <row r="505" spans="1:12" x14ac:dyDescent="0.25">
      <c r="A505" s="90" t="s">
        <v>70</v>
      </c>
      <c r="B505" s="90" t="s">
        <v>596</v>
      </c>
      <c r="C505" s="90" t="s">
        <v>597</v>
      </c>
      <c r="D505" s="92">
        <v>548700</v>
      </c>
      <c r="E505" s="92">
        <v>548700</v>
      </c>
      <c r="F505" s="93">
        <v>491936.53</v>
      </c>
      <c r="G505" s="97">
        <v>89.7</v>
      </c>
      <c r="H505" s="90" t="s">
        <v>13</v>
      </c>
      <c r="L505" s="92">
        <v>0</v>
      </c>
    </row>
    <row r="506" spans="1:12" x14ac:dyDescent="0.25">
      <c r="A506" s="90" t="s">
        <v>70</v>
      </c>
      <c r="B506" s="90" t="s">
        <v>598</v>
      </c>
      <c r="C506" s="90" t="s">
        <v>599</v>
      </c>
      <c r="D506" s="92">
        <v>128325</v>
      </c>
      <c r="E506" s="92">
        <v>128325</v>
      </c>
      <c r="F506" s="93">
        <v>115941.67</v>
      </c>
      <c r="G506" s="97">
        <v>90.4</v>
      </c>
      <c r="H506" s="90" t="s">
        <v>13</v>
      </c>
      <c r="L506" s="92">
        <v>0</v>
      </c>
    </row>
    <row r="507" spans="1:12" x14ac:dyDescent="0.25">
      <c r="A507" s="90" t="s">
        <v>70</v>
      </c>
      <c r="B507" s="90" t="s">
        <v>600</v>
      </c>
      <c r="C507" s="90" t="s">
        <v>601</v>
      </c>
      <c r="D507" s="92">
        <v>1465560</v>
      </c>
      <c r="E507" s="92">
        <v>1465560</v>
      </c>
      <c r="F507" s="93">
        <v>1424417.49</v>
      </c>
      <c r="G507" s="97">
        <v>97.2</v>
      </c>
      <c r="H507" s="90" t="s">
        <v>13</v>
      </c>
      <c r="L507" s="92">
        <v>0</v>
      </c>
    </row>
    <row r="508" spans="1:12" x14ac:dyDescent="0.25">
      <c r="A508" s="90" t="s">
        <v>70</v>
      </c>
      <c r="B508" s="90" t="s">
        <v>606</v>
      </c>
      <c r="C508" s="90" t="s">
        <v>607</v>
      </c>
      <c r="D508" s="92">
        <v>2000</v>
      </c>
      <c r="E508" s="92">
        <v>2000</v>
      </c>
      <c r="F508" s="93">
        <v>442.55</v>
      </c>
      <c r="G508" s="97">
        <v>22.1</v>
      </c>
      <c r="H508" s="90" t="s">
        <v>13</v>
      </c>
      <c r="L508" s="92">
        <v>0</v>
      </c>
    </row>
    <row r="509" spans="1:12" x14ac:dyDescent="0.25">
      <c r="A509" s="90" t="s">
        <v>70</v>
      </c>
      <c r="B509" s="90" t="s">
        <v>608</v>
      </c>
      <c r="C509" s="90" t="s">
        <v>609</v>
      </c>
      <c r="D509" s="92">
        <v>1000</v>
      </c>
      <c r="E509" s="92">
        <v>1000</v>
      </c>
      <c r="F509" s="93">
        <v>863.47</v>
      </c>
      <c r="G509" s="97">
        <v>86.3</v>
      </c>
      <c r="H509" s="90" t="s">
        <v>13</v>
      </c>
      <c r="L509" s="92">
        <v>0</v>
      </c>
    </row>
    <row r="510" spans="1:12" x14ac:dyDescent="0.25">
      <c r="A510" s="90" t="s">
        <v>70</v>
      </c>
      <c r="B510" s="90" t="s">
        <v>674</v>
      </c>
      <c r="C510" s="90" t="s">
        <v>675</v>
      </c>
      <c r="D510" s="92">
        <v>14200</v>
      </c>
      <c r="E510" s="92">
        <v>12800</v>
      </c>
      <c r="F510" s="93">
        <v>12600.56</v>
      </c>
      <c r="G510" s="97">
        <v>98.4</v>
      </c>
      <c r="H510" s="90" t="s">
        <v>13</v>
      </c>
      <c r="L510" s="92">
        <v>-1400</v>
      </c>
    </row>
    <row r="511" spans="1:12" x14ac:dyDescent="0.25">
      <c r="A511" s="90" t="s">
        <v>70</v>
      </c>
      <c r="B511" s="90" t="s">
        <v>634</v>
      </c>
      <c r="C511" s="90" t="s">
        <v>635</v>
      </c>
      <c r="D511" s="92">
        <v>170000</v>
      </c>
      <c r="E511" s="92">
        <v>90050</v>
      </c>
      <c r="F511" s="93">
        <v>80455.679999999993</v>
      </c>
      <c r="G511" s="97">
        <v>89.3</v>
      </c>
      <c r="H511" s="90" t="s">
        <v>13</v>
      </c>
      <c r="L511" s="92">
        <v>-79950</v>
      </c>
    </row>
    <row r="512" spans="1:12" x14ac:dyDescent="0.25">
      <c r="A512" s="90" t="s">
        <v>70</v>
      </c>
      <c r="B512" s="90" t="s">
        <v>636</v>
      </c>
      <c r="C512" s="90" t="s">
        <v>637</v>
      </c>
      <c r="D512" s="92">
        <v>7500</v>
      </c>
      <c r="E512" s="92">
        <v>24875</v>
      </c>
      <c r="F512" s="93">
        <v>24747.61</v>
      </c>
      <c r="G512" s="97">
        <v>99.5</v>
      </c>
      <c r="H512" s="90" t="s">
        <v>13</v>
      </c>
      <c r="L512" s="92">
        <v>17375</v>
      </c>
    </row>
    <row r="513" spans="1:12" x14ac:dyDescent="0.25">
      <c r="A513" s="90" t="s">
        <v>70</v>
      </c>
      <c r="B513" s="90" t="s">
        <v>661</v>
      </c>
      <c r="C513" s="90" t="s">
        <v>662</v>
      </c>
      <c r="D513" s="92">
        <v>33000</v>
      </c>
      <c r="E513" s="92">
        <v>34400</v>
      </c>
      <c r="F513" s="93">
        <v>34323.21</v>
      </c>
      <c r="G513" s="97">
        <v>99.8</v>
      </c>
      <c r="H513" s="90" t="s">
        <v>13</v>
      </c>
      <c r="L513" s="92">
        <v>1400</v>
      </c>
    </row>
    <row r="514" spans="1:12" x14ac:dyDescent="0.25">
      <c r="A514" s="90" t="s">
        <v>70</v>
      </c>
      <c r="B514" s="90" t="s">
        <v>610</v>
      </c>
      <c r="C514" s="90" t="s">
        <v>611</v>
      </c>
      <c r="D514" s="92">
        <v>6500</v>
      </c>
      <c r="E514" s="92">
        <v>6500</v>
      </c>
      <c r="F514" s="93">
        <v>6415.57</v>
      </c>
      <c r="G514" s="97">
        <v>98.7</v>
      </c>
      <c r="H514" s="90" t="s">
        <v>13</v>
      </c>
      <c r="L514" s="92">
        <v>0</v>
      </c>
    </row>
    <row r="515" spans="1:12" x14ac:dyDescent="0.25">
      <c r="A515" s="90" t="s">
        <v>70</v>
      </c>
      <c r="B515" s="90" t="s">
        <v>612</v>
      </c>
      <c r="C515" s="90" t="s">
        <v>613</v>
      </c>
      <c r="D515" s="92">
        <v>56500</v>
      </c>
      <c r="E515" s="92">
        <v>49250</v>
      </c>
      <c r="F515" s="93">
        <v>47474.78</v>
      </c>
      <c r="G515" s="97">
        <v>96.4</v>
      </c>
      <c r="H515" s="90" t="s">
        <v>13</v>
      </c>
      <c r="J515" s="24" t="s">
        <v>152</v>
      </c>
      <c r="L515" s="92">
        <v>-7250</v>
      </c>
    </row>
    <row r="516" spans="1:12" x14ac:dyDescent="0.25">
      <c r="A516" s="90" t="s">
        <v>70</v>
      </c>
      <c r="B516" s="90" t="s">
        <v>682</v>
      </c>
      <c r="C516" s="90" t="s">
        <v>683</v>
      </c>
      <c r="D516" s="92">
        <v>5200</v>
      </c>
      <c r="E516" s="92">
        <v>200</v>
      </c>
      <c r="F516" s="93">
        <v>0</v>
      </c>
      <c r="G516" s="97">
        <v>0</v>
      </c>
      <c r="H516" s="90" t="s">
        <v>13</v>
      </c>
      <c r="L516" s="92">
        <v>-5000</v>
      </c>
    </row>
    <row r="517" spans="1:12" x14ac:dyDescent="0.25">
      <c r="A517" s="90" t="s">
        <v>70</v>
      </c>
      <c r="B517" s="90" t="s">
        <v>631</v>
      </c>
      <c r="C517" s="90" t="s">
        <v>632</v>
      </c>
      <c r="D517" s="92">
        <v>7500</v>
      </c>
      <c r="E517" s="92">
        <v>10150</v>
      </c>
      <c r="F517" s="93">
        <v>10141.120000000001</v>
      </c>
      <c r="G517" s="97">
        <v>99.9</v>
      </c>
      <c r="H517" s="90" t="s">
        <v>13</v>
      </c>
      <c r="L517" s="92">
        <v>2650</v>
      </c>
    </row>
    <row r="518" spans="1:12" x14ac:dyDescent="0.25">
      <c r="A518" s="90" t="s">
        <v>70</v>
      </c>
      <c r="B518" s="90" t="s">
        <v>616</v>
      </c>
      <c r="C518" s="90" t="s">
        <v>617</v>
      </c>
      <c r="D518" s="92">
        <v>2500</v>
      </c>
      <c r="E518" s="92">
        <v>8125</v>
      </c>
      <c r="F518" s="93">
        <v>8107.15</v>
      </c>
      <c r="G518" s="97">
        <v>99.8</v>
      </c>
      <c r="H518" s="90" t="s">
        <v>13</v>
      </c>
      <c r="L518" s="92">
        <v>5625</v>
      </c>
    </row>
    <row r="519" spans="1:12" x14ac:dyDescent="0.25">
      <c r="A519" s="90" t="s">
        <v>70</v>
      </c>
      <c r="B519" s="90" t="s">
        <v>618</v>
      </c>
      <c r="C519" s="90" t="s">
        <v>619</v>
      </c>
      <c r="D519" s="92">
        <v>40000</v>
      </c>
      <c r="E519" s="92">
        <v>52500</v>
      </c>
      <c r="F519" s="93">
        <v>46336.72</v>
      </c>
      <c r="G519" s="97">
        <v>88.3</v>
      </c>
      <c r="H519" s="90" t="s">
        <v>13</v>
      </c>
      <c r="L519" s="92">
        <v>12500</v>
      </c>
    </row>
    <row r="520" spans="1:12" x14ac:dyDescent="0.25">
      <c r="A520" s="90" t="s">
        <v>70</v>
      </c>
      <c r="B520" s="90" t="s">
        <v>622</v>
      </c>
      <c r="C520" s="90" t="s">
        <v>623</v>
      </c>
      <c r="D520" s="92">
        <v>321000</v>
      </c>
      <c r="E520" s="92">
        <v>368250</v>
      </c>
      <c r="F520" s="93">
        <v>367193.3</v>
      </c>
      <c r="G520" s="97">
        <v>99.7</v>
      </c>
      <c r="H520" s="90" t="s">
        <v>13</v>
      </c>
      <c r="L520" s="92">
        <v>47250</v>
      </c>
    </row>
    <row r="521" spans="1:12" x14ac:dyDescent="0.25">
      <c r="A521" s="90" t="s">
        <v>70</v>
      </c>
      <c r="B521" s="90" t="s">
        <v>663</v>
      </c>
      <c r="C521" s="90" t="s">
        <v>664</v>
      </c>
      <c r="D521" s="92">
        <v>45000</v>
      </c>
      <c r="E521" s="92">
        <v>45450</v>
      </c>
      <c r="F521" s="93">
        <v>45429.88</v>
      </c>
      <c r="G521" s="97">
        <v>100</v>
      </c>
      <c r="H521" s="90" t="s">
        <v>13</v>
      </c>
      <c r="L521" s="92">
        <v>450</v>
      </c>
    </row>
    <row r="522" spans="1:12" x14ac:dyDescent="0.25">
      <c r="A522" s="90" t="s">
        <v>70</v>
      </c>
      <c r="B522" s="90" t="s">
        <v>624</v>
      </c>
      <c r="C522" s="90" t="s">
        <v>625</v>
      </c>
      <c r="D522" s="92">
        <v>108000</v>
      </c>
      <c r="E522" s="92">
        <v>114350</v>
      </c>
      <c r="F522" s="93">
        <v>31798.23</v>
      </c>
      <c r="G522" s="97">
        <v>27.8</v>
      </c>
      <c r="H522" s="90" t="s">
        <v>13</v>
      </c>
      <c r="L522" s="92">
        <v>6350</v>
      </c>
    </row>
    <row r="523" spans="1:12" x14ac:dyDescent="0.25">
      <c r="A523" s="90" t="s">
        <v>70</v>
      </c>
      <c r="B523" s="90" t="s">
        <v>764</v>
      </c>
      <c r="C523" s="90" t="s">
        <v>765</v>
      </c>
      <c r="D523" s="92">
        <v>0</v>
      </c>
      <c r="E523" s="92">
        <v>690308</v>
      </c>
      <c r="F523" s="93">
        <v>373369.8</v>
      </c>
      <c r="G523" s="97">
        <v>54.1</v>
      </c>
      <c r="H523" s="90" t="s">
        <v>13</v>
      </c>
      <c r="L523" s="92">
        <v>690308</v>
      </c>
    </row>
    <row r="524" spans="1:12" x14ac:dyDescent="0.25">
      <c r="A524" s="90" t="s">
        <v>70</v>
      </c>
      <c r="B524" s="90" t="s">
        <v>648</v>
      </c>
      <c r="C524" s="90" t="s">
        <v>649</v>
      </c>
      <c r="D524" s="92">
        <v>500</v>
      </c>
      <c r="E524" s="92">
        <v>500</v>
      </c>
      <c r="F524" s="93">
        <v>0</v>
      </c>
      <c r="G524" s="97">
        <v>0</v>
      </c>
      <c r="H524" s="90" t="s">
        <v>13</v>
      </c>
      <c r="L524" s="92">
        <v>0</v>
      </c>
    </row>
    <row r="525" spans="1:12" x14ac:dyDescent="0.25">
      <c r="C525" s="91" t="s">
        <v>777</v>
      </c>
      <c r="D525" s="98">
        <f>SUM(D503:D524)</f>
        <v>11812985</v>
      </c>
      <c r="E525" s="98">
        <f t="shared" ref="E525:F525" si="32">SUM(E503:E524)</f>
        <v>12123863</v>
      </c>
      <c r="F525" s="98">
        <f t="shared" si="32"/>
        <v>11254425.320000004</v>
      </c>
    </row>
    <row r="526" spans="1:12" x14ac:dyDescent="0.25">
      <c r="A526" s="90" t="s">
        <v>72</v>
      </c>
      <c r="B526" s="90" t="s">
        <v>592</v>
      </c>
      <c r="C526" s="90" t="s">
        <v>593</v>
      </c>
      <c r="D526" s="92">
        <v>174467</v>
      </c>
      <c r="E526" s="92">
        <v>174467</v>
      </c>
      <c r="F526" s="93">
        <v>188305.15</v>
      </c>
      <c r="G526" s="97">
        <v>107.9</v>
      </c>
      <c r="H526" s="90" t="s">
        <v>158</v>
      </c>
      <c r="L526" s="92">
        <v>0</v>
      </c>
    </row>
    <row r="527" spans="1:12" x14ac:dyDescent="0.25">
      <c r="A527" s="90" t="s">
        <v>72</v>
      </c>
      <c r="B527" s="90" t="s">
        <v>594</v>
      </c>
      <c r="C527" s="90" t="s">
        <v>595</v>
      </c>
      <c r="D527" s="92">
        <v>2500</v>
      </c>
      <c r="E527" s="92">
        <v>2500</v>
      </c>
      <c r="F527" s="93">
        <v>1291.72</v>
      </c>
      <c r="G527" s="97">
        <v>51.7</v>
      </c>
      <c r="H527" s="90" t="s">
        <v>13</v>
      </c>
      <c r="L527" s="92">
        <v>0</v>
      </c>
    </row>
    <row r="528" spans="1:12" x14ac:dyDescent="0.25">
      <c r="A528" s="90" t="s">
        <v>72</v>
      </c>
      <c r="B528" s="90" t="s">
        <v>596</v>
      </c>
      <c r="C528" s="90" t="s">
        <v>597</v>
      </c>
      <c r="D528" s="92">
        <v>10972</v>
      </c>
      <c r="E528" s="92">
        <v>10972</v>
      </c>
      <c r="F528" s="93">
        <v>11235.26</v>
      </c>
      <c r="G528" s="97">
        <v>102.4</v>
      </c>
      <c r="H528" s="90" t="s">
        <v>158</v>
      </c>
      <c r="L528" s="92">
        <v>0</v>
      </c>
    </row>
    <row r="529" spans="1:12" x14ac:dyDescent="0.25">
      <c r="A529" s="90" t="s">
        <v>72</v>
      </c>
      <c r="B529" s="90" t="s">
        <v>598</v>
      </c>
      <c r="C529" s="90" t="s">
        <v>599</v>
      </c>
      <c r="D529" s="92">
        <v>2600</v>
      </c>
      <c r="E529" s="92">
        <v>2600</v>
      </c>
      <c r="F529" s="93">
        <v>2627.57</v>
      </c>
      <c r="G529" s="97">
        <v>101.1</v>
      </c>
      <c r="H529" s="90" t="s">
        <v>158</v>
      </c>
      <c r="L529" s="92">
        <v>0</v>
      </c>
    </row>
    <row r="530" spans="1:12" x14ac:dyDescent="0.25">
      <c r="A530" s="90" t="s">
        <v>72</v>
      </c>
      <c r="B530" s="90" t="s">
        <v>600</v>
      </c>
      <c r="C530" s="90" t="s">
        <v>601</v>
      </c>
      <c r="D530" s="92">
        <v>29400</v>
      </c>
      <c r="E530" s="92">
        <v>29400</v>
      </c>
      <c r="F530" s="93">
        <v>32411.54</v>
      </c>
      <c r="G530" s="97">
        <v>110.2</v>
      </c>
      <c r="H530" s="90" t="s">
        <v>158</v>
      </c>
      <c r="L530" s="92">
        <v>0</v>
      </c>
    </row>
    <row r="531" spans="1:12" x14ac:dyDescent="0.25">
      <c r="A531" s="90" t="s">
        <v>72</v>
      </c>
      <c r="B531" s="90" t="s">
        <v>606</v>
      </c>
      <c r="C531" s="90" t="s">
        <v>607</v>
      </c>
      <c r="D531" s="92">
        <v>150</v>
      </c>
      <c r="E531" s="92">
        <v>150</v>
      </c>
      <c r="F531" s="93">
        <v>0</v>
      </c>
      <c r="G531" s="97">
        <v>0</v>
      </c>
      <c r="H531" s="90" t="s">
        <v>13</v>
      </c>
      <c r="L531" s="92">
        <v>0</v>
      </c>
    </row>
    <row r="532" spans="1:12" x14ac:dyDescent="0.25">
      <c r="A532" s="90" t="s">
        <v>72</v>
      </c>
      <c r="B532" s="90" t="s">
        <v>608</v>
      </c>
      <c r="C532" s="90" t="s">
        <v>609</v>
      </c>
      <c r="D532" s="92">
        <v>1000</v>
      </c>
      <c r="E532" s="92">
        <v>1000</v>
      </c>
      <c r="F532" s="93">
        <v>0.81</v>
      </c>
      <c r="G532" s="97">
        <v>0.1</v>
      </c>
      <c r="H532" s="90" t="s">
        <v>13</v>
      </c>
      <c r="L532" s="92">
        <v>0</v>
      </c>
    </row>
    <row r="533" spans="1:12" x14ac:dyDescent="0.25">
      <c r="A533" s="90" t="s">
        <v>72</v>
      </c>
      <c r="B533" s="90" t="s">
        <v>634</v>
      </c>
      <c r="C533" s="90" t="s">
        <v>635</v>
      </c>
      <c r="D533" s="92">
        <v>7600</v>
      </c>
      <c r="E533" s="92">
        <v>5780</v>
      </c>
      <c r="F533" s="93">
        <v>3718.2</v>
      </c>
      <c r="G533" s="97">
        <v>64.3</v>
      </c>
      <c r="H533" s="90" t="s">
        <v>13</v>
      </c>
      <c r="L533" s="92">
        <v>-1820</v>
      </c>
    </row>
    <row r="534" spans="1:12" x14ac:dyDescent="0.25">
      <c r="A534" s="90" t="s">
        <v>72</v>
      </c>
      <c r="B534" s="90" t="s">
        <v>636</v>
      </c>
      <c r="C534" s="90" t="s">
        <v>637</v>
      </c>
      <c r="D534" s="92">
        <v>20000</v>
      </c>
      <c r="E534" s="92">
        <v>5000</v>
      </c>
      <c r="F534" s="93">
        <v>110.96</v>
      </c>
      <c r="G534" s="97">
        <v>2.2000000000000002</v>
      </c>
      <c r="H534" s="90" t="s">
        <v>13</v>
      </c>
      <c r="I534" s="24" t="s">
        <v>152</v>
      </c>
      <c r="L534" s="92">
        <v>-15000</v>
      </c>
    </row>
    <row r="535" spans="1:12" x14ac:dyDescent="0.25">
      <c r="A535" s="90" t="s">
        <v>72</v>
      </c>
      <c r="B535" s="90" t="s">
        <v>756</v>
      </c>
      <c r="C535" s="90" t="s">
        <v>757</v>
      </c>
      <c r="D535" s="92">
        <v>0</v>
      </c>
      <c r="E535" s="92">
        <v>0</v>
      </c>
      <c r="F535" s="93">
        <v>1800</v>
      </c>
      <c r="G535" s="97">
        <v>100</v>
      </c>
      <c r="H535" s="90" t="s">
        <v>158</v>
      </c>
      <c r="L535" s="92">
        <v>0</v>
      </c>
    </row>
    <row r="536" spans="1:12" x14ac:dyDescent="0.25">
      <c r="A536" s="90" t="s">
        <v>72</v>
      </c>
      <c r="B536" s="90" t="s">
        <v>612</v>
      </c>
      <c r="C536" s="90" t="s">
        <v>613</v>
      </c>
      <c r="D536" s="92">
        <v>20000</v>
      </c>
      <c r="E536" s="92">
        <v>74031</v>
      </c>
      <c r="F536" s="93">
        <v>42562.78</v>
      </c>
      <c r="G536" s="97">
        <v>57.5</v>
      </c>
      <c r="H536" s="90" t="s">
        <v>13</v>
      </c>
      <c r="L536" s="92">
        <v>54031</v>
      </c>
    </row>
    <row r="537" spans="1:12" x14ac:dyDescent="0.25">
      <c r="A537" s="90" t="s">
        <v>72</v>
      </c>
      <c r="B537" s="90" t="s">
        <v>682</v>
      </c>
      <c r="C537" s="90" t="s">
        <v>683</v>
      </c>
      <c r="D537" s="92">
        <v>5000</v>
      </c>
      <c r="E537" s="92">
        <v>0</v>
      </c>
      <c r="F537" s="93">
        <v>0</v>
      </c>
      <c r="G537" s="97">
        <v>0</v>
      </c>
      <c r="H537" s="90" t="s">
        <v>13</v>
      </c>
      <c r="L537" s="92">
        <v>-5000</v>
      </c>
    </row>
    <row r="538" spans="1:12" x14ac:dyDescent="0.25">
      <c r="A538" s="90" t="s">
        <v>72</v>
      </c>
      <c r="B538" s="90" t="s">
        <v>631</v>
      </c>
      <c r="C538" s="90" t="s">
        <v>632</v>
      </c>
      <c r="D538" s="92">
        <v>700</v>
      </c>
      <c r="E538" s="92">
        <v>1500</v>
      </c>
      <c r="F538" s="93">
        <v>0</v>
      </c>
      <c r="G538" s="97">
        <v>0</v>
      </c>
      <c r="H538" s="90" t="s">
        <v>13</v>
      </c>
      <c r="L538" s="92">
        <v>800</v>
      </c>
    </row>
    <row r="539" spans="1:12" x14ac:dyDescent="0.25">
      <c r="A539" s="90" t="s">
        <v>72</v>
      </c>
      <c r="B539" s="90" t="s">
        <v>616</v>
      </c>
      <c r="C539" s="90" t="s">
        <v>617</v>
      </c>
      <c r="D539" s="92">
        <v>3500</v>
      </c>
      <c r="E539" s="92">
        <v>1000</v>
      </c>
      <c r="F539" s="93">
        <v>596.96</v>
      </c>
      <c r="G539" s="97">
        <v>59.7</v>
      </c>
      <c r="H539" s="90" t="s">
        <v>13</v>
      </c>
      <c r="L539" s="92">
        <v>-2500</v>
      </c>
    </row>
    <row r="540" spans="1:12" x14ac:dyDescent="0.25">
      <c r="A540" s="90" t="s">
        <v>72</v>
      </c>
      <c r="B540" s="90" t="s">
        <v>618</v>
      </c>
      <c r="C540" s="90" t="s">
        <v>619</v>
      </c>
      <c r="D540" s="92">
        <v>5000</v>
      </c>
      <c r="E540" s="92">
        <v>1155</v>
      </c>
      <c r="F540" s="93">
        <v>1115</v>
      </c>
      <c r="G540" s="97">
        <v>96.5</v>
      </c>
      <c r="H540" s="90" t="s">
        <v>13</v>
      </c>
      <c r="L540" s="92">
        <v>-3845</v>
      </c>
    </row>
    <row r="541" spans="1:12" x14ac:dyDescent="0.25">
      <c r="A541" s="90" t="s">
        <v>72</v>
      </c>
      <c r="B541" s="90" t="s">
        <v>642</v>
      </c>
      <c r="C541" s="90" t="s">
        <v>643</v>
      </c>
      <c r="D541" s="92">
        <v>0</v>
      </c>
      <c r="E541" s="92">
        <v>-28711</v>
      </c>
      <c r="F541" s="93">
        <v>-28711.96</v>
      </c>
      <c r="G541" s="97">
        <v>100</v>
      </c>
      <c r="H541" s="90" t="s">
        <v>13</v>
      </c>
      <c r="L541" s="92">
        <v>-28711</v>
      </c>
    </row>
    <row r="542" spans="1:12" x14ac:dyDescent="0.25">
      <c r="A542" s="90" t="s">
        <v>72</v>
      </c>
      <c r="B542" s="90" t="s">
        <v>622</v>
      </c>
      <c r="C542" s="90" t="s">
        <v>623</v>
      </c>
      <c r="D542" s="92">
        <v>85000</v>
      </c>
      <c r="E542" s="92">
        <v>89345</v>
      </c>
      <c r="F542" s="93">
        <v>83167.53</v>
      </c>
      <c r="G542" s="97">
        <v>93.1</v>
      </c>
      <c r="H542" s="90" t="s">
        <v>13</v>
      </c>
      <c r="L542" s="92">
        <v>4345</v>
      </c>
    </row>
    <row r="543" spans="1:12" x14ac:dyDescent="0.25">
      <c r="A543" s="90" t="s">
        <v>72</v>
      </c>
      <c r="B543" s="90" t="s">
        <v>663</v>
      </c>
      <c r="C543" s="90" t="s">
        <v>664</v>
      </c>
      <c r="D543" s="92">
        <v>4000</v>
      </c>
      <c r="E543" s="92">
        <v>4000</v>
      </c>
      <c r="F543" s="93">
        <v>1811.3</v>
      </c>
      <c r="G543" s="97">
        <v>45.3</v>
      </c>
      <c r="H543" s="90" t="s">
        <v>13</v>
      </c>
      <c r="L543" s="92">
        <v>0</v>
      </c>
    </row>
    <row r="544" spans="1:12" x14ac:dyDescent="0.25">
      <c r="A544" s="90" t="s">
        <v>72</v>
      </c>
      <c r="B544" s="90" t="s">
        <v>706</v>
      </c>
      <c r="C544" s="90" t="s">
        <v>707</v>
      </c>
      <c r="D544" s="92">
        <v>0</v>
      </c>
      <c r="E544" s="92">
        <v>0</v>
      </c>
      <c r="F544" s="93">
        <v>8296.57</v>
      </c>
      <c r="G544" s="97">
        <v>100</v>
      </c>
      <c r="H544" s="90" t="s">
        <v>158</v>
      </c>
      <c r="J544" s="24" t="s">
        <v>152</v>
      </c>
      <c r="L544" s="92">
        <v>0</v>
      </c>
    </row>
    <row r="545" spans="1:12" x14ac:dyDescent="0.25">
      <c r="A545" s="90" t="s">
        <v>72</v>
      </c>
      <c r="B545" s="90" t="s">
        <v>624</v>
      </c>
      <c r="C545" s="90" t="s">
        <v>625</v>
      </c>
      <c r="D545" s="92">
        <v>5000</v>
      </c>
      <c r="E545" s="92">
        <v>2000</v>
      </c>
      <c r="F545" s="93">
        <v>681.36</v>
      </c>
      <c r="G545" s="97">
        <v>34.1</v>
      </c>
      <c r="H545" s="90" t="s">
        <v>13</v>
      </c>
      <c r="L545" s="92">
        <v>-3000</v>
      </c>
    </row>
    <row r="546" spans="1:12" x14ac:dyDescent="0.25">
      <c r="C546" s="91" t="s">
        <v>778</v>
      </c>
      <c r="D546" s="98">
        <f>SUM(D526:D545)</f>
        <v>376889</v>
      </c>
      <c r="E546" s="98">
        <f t="shared" ref="E546:F546" si="33">SUM(E526:E545)</f>
        <v>376189</v>
      </c>
      <c r="F546" s="98">
        <f t="shared" si="33"/>
        <v>351020.75</v>
      </c>
    </row>
    <row r="547" spans="1:12" x14ac:dyDescent="0.25">
      <c r="A547" s="90" t="s">
        <v>502</v>
      </c>
      <c r="B547" s="90" t="s">
        <v>592</v>
      </c>
      <c r="C547" s="90" t="s">
        <v>593</v>
      </c>
      <c r="D547" s="92">
        <v>0</v>
      </c>
      <c r="E547" s="92">
        <v>429800</v>
      </c>
      <c r="F547" s="93">
        <v>482402.72</v>
      </c>
      <c r="G547" s="97">
        <v>112.2</v>
      </c>
      <c r="H547" s="90" t="s">
        <v>158</v>
      </c>
      <c r="L547" s="92">
        <v>429800</v>
      </c>
    </row>
    <row r="548" spans="1:12" x14ac:dyDescent="0.25">
      <c r="A548" s="90" t="s">
        <v>502</v>
      </c>
      <c r="B548" s="90" t="s">
        <v>596</v>
      </c>
      <c r="C548" s="90" t="s">
        <v>779</v>
      </c>
      <c r="D548" s="92">
        <v>0</v>
      </c>
      <c r="E548" s="92">
        <v>21068</v>
      </c>
      <c r="F548" s="93">
        <v>29362.46</v>
      </c>
      <c r="G548" s="97">
        <v>139.4</v>
      </c>
      <c r="H548" s="90" t="s">
        <v>158</v>
      </c>
      <c r="L548" s="92">
        <v>21068</v>
      </c>
    </row>
    <row r="549" spans="1:12" x14ac:dyDescent="0.25">
      <c r="A549" s="90" t="s">
        <v>502</v>
      </c>
      <c r="B549" s="90" t="s">
        <v>598</v>
      </c>
      <c r="C549" s="90" t="s">
        <v>780</v>
      </c>
      <c r="D549" s="92">
        <v>0</v>
      </c>
      <c r="E549" s="92">
        <v>4928</v>
      </c>
      <c r="F549" s="93">
        <v>6867.01</v>
      </c>
      <c r="G549" s="97">
        <v>139.30000000000001</v>
      </c>
      <c r="H549" s="90" t="s">
        <v>158</v>
      </c>
      <c r="L549" s="92">
        <v>4928</v>
      </c>
    </row>
    <row r="550" spans="1:12" x14ac:dyDescent="0.25">
      <c r="A550" s="90" t="s">
        <v>502</v>
      </c>
      <c r="B550" s="90" t="s">
        <v>600</v>
      </c>
      <c r="C550" s="90" t="s">
        <v>781</v>
      </c>
      <c r="D550" s="92">
        <v>0</v>
      </c>
      <c r="E550" s="92">
        <v>59669</v>
      </c>
      <c r="F550" s="93">
        <v>84494.58</v>
      </c>
      <c r="G550" s="97">
        <v>141.6</v>
      </c>
      <c r="H550" s="90" t="s">
        <v>158</v>
      </c>
      <c r="L550" s="92">
        <v>59669</v>
      </c>
    </row>
    <row r="551" spans="1:12" x14ac:dyDescent="0.25">
      <c r="A551" s="90" t="s">
        <v>502</v>
      </c>
      <c r="B551" s="90" t="s">
        <v>606</v>
      </c>
      <c r="C551" s="90" t="s">
        <v>782</v>
      </c>
      <c r="D551" s="92">
        <v>0</v>
      </c>
      <c r="E551" s="92">
        <v>0</v>
      </c>
      <c r="F551" s="93">
        <v>43.95</v>
      </c>
      <c r="G551" s="97">
        <v>100</v>
      </c>
      <c r="H551" s="90" t="s">
        <v>158</v>
      </c>
      <c r="L551" s="92">
        <v>0</v>
      </c>
    </row>
    <row r="552" spans="1:12" x14ac:dyDescent="0.25">
      <c r="A552" s="90" t="s">
        <v>502</v>
      </c>
      <c r="B552" s="90" t="s">
        <v>612</v>
      </c>
      <c r="C552" s="90" t="s">
        <v>613</v>
      </c>
      <c r="D552" s="92">
        <v>0</v>
      </c>
      <c r="E552" s="92">
        <v>148165</v>
      </c>
      <c r="F552" s="93">
        <v>63977.18</v>
      </c>
      <c r="G552" s="97">
        <v>43.2</v>
      </c>
      <c r="H552" s="90" t="s">
        <v>13</v>
      </c>
      <c r="L552" s="92">
        <v>148165</v>
      </c>
    </row>
    <row r="553" spans="1:12" x14ac:dyDescent="0.25">
      <c r="A553" s="90" t="s">
        <v>502</v>
      </c>
      <c r="B553" s="90" t="s">
        <v>616</v>
      </c>
      <c r="C553" s="90" t="s">
        <v>617</v>
      </c>
      <c r="D553" s="92">
        <v>0</v>
      </c>
      <c r="E553" s="92">
        <v>2000</v>
      </c>
      <c r="F553" s="93">
        <v>1198.04</v>
      </c>
      <c r="G553" s="97">
        <v>59.9</v>
      </c>
      <c r="H553" s="90" t="s">
        <v>13</v>
      </c>
      <c r="L553" s="92">
        <v>2000</v>
      </c>
    </row>
    <row r="554" spans="1:12" x14ac:dyDescent="0.25">
      <c r="A554" s="90" t="s">
        <v>502</v>
      </c>
      <c r="B554" s="90" t="s">
        <v>618</v>
      </c>
      <c r="C554" s="90" t="s">
        <v>619</v>
      </c>
      <c r="D554" s="92">
        <v>0</v>
      </c>
      <c r="E554" s="92">
        <v>5000</v>
      </c>
      <c r="F554" s="93">
        <v>9212.84</v>
      </c>
      <c r="G554" s="97">
        <v>184.3</v>
      </c>
      <c r="H554" s="90" t="s">
        <v>158</v>
      </c>
      <c r="L554" s="92">
        <v>5000</v>
      </c>
    </row>
    <row r="555" spans="1:12" x14ac:dyDescent="0.25">
      <c r="A555" s="90" t="s">
        <v>502</v>
      </c>
      <c r="B555" s="90" t="s">
        <v>622</v>
      </c>
      <c r="C555" s="90" t="s">
        <v>623</v>
      </c>
      <c r="D555" s="92">
        <v>0</v>
      </c>
      <c r="E555" s="92">
        <v>5700</v>
      </c>
      <c r="F555" s="93">
        <v>5840.47</v>
      </c>
      <c r="G555" s="97">
        <v>102.5</v>
      </c>
      <c r="H555" s="90" t="s">
        <v>158</v>
      </c>
      <c r="L555" s="92">
        <v>5700</v>
      </c>
    </row>
    <row r="556" spans="1:12" x14ac:dyDescent="0.25">
      <c r="A556" s="90" t="s">
        <v>502</v>
      </c>
      <c r="B556" s="90" t="s">
        <v>663</v>
      </c>
      <c r="C556" s="90" t="s">
        <v>664</v>
      </c>
      <c r="D556" s="92">
        <v>0</v>
      </c>
      <c r="E556" s="92">
        <v>1500</v>
      </c>
      <c r="F556" s="93">
        <v>315.48</v>
      </c>
      <c r="G556" s="97">
        <v>21</v>
      </c>
      <c r="H556" s="90" t="s">
        <v>13</v>
      </c>
      <c r="L556" s="92">
        <v>1500</v>
      </c>
    </row>
    <row r="557" spans="1:12" x14ac:dyDescent="0.25">
      <c r="A557" s="90" t="s">
        <v>502</v>
      </c>
      <c r="B557" s="90" t="s">
        <v>706</v>
      </c>
      <c r="C557" s="90" t="s">
        <v>783</v>
      </c>
      <c r="D557" s="92">
        <v>0</v>
      </c>
      <c r="E557" s="92">
        <v>0</v>
      </c>
      <c r="F557" s="93">
        <v>20</v>
      </c>
      <c r="G557" s="97">
        <v>100</v>
      </c>
      <c r="H557" s="90" t="s">
        <v>158</v>
      </c>
      <c r="L557" s="92">
        <v>0</v>
      </c>
    </row>
    <row r="558" spans="1:12" x14ac:dyDescent="0.25">
      <c r="A558" s="90" t="s">
        <v>502</v>
      </c>
      <c r="B558" s="90" t="s">
        <v>624</v>
      </c>
      <c r="C558" s="90" t="s">
        <v>625</v>
      </c>
      <c r="D558" s="92">
        <v>0</v>
      </c>
      <c r="E558" s="92">
        <v>20700</v>
      </c>
      <c r="F558" s="93">
        <v>20700</v>
      </c>
      <c r="G558" s="97">
        <v>100</v>
      </c>
      <c r="H558" s="90" t="s">
        <v>13</v>
      </c>
      <c r="L558" s="92">
        <v>20700</v>
      </c>
    </row>
    <row r="559" spans="1:12" x14ac:dyDescent="0.25">
      <c r="A559" s="90" t="s">
        <v>502</v>
      </c>
      <c r="B559" s="90" t="s">
        <v>764</v>
      </c>
      <c r="C559" s="90" t="s">
        <v>765</v>
      </c>
      <c r="D559" s="92">
        <v>0</v>
      </c>
      <c r="E559" s="92">
        <v>101700</v>
      </c>
      <c r="F559" s="93">
        <v>87567.99</v>
      </c>
      <c r="G559" s="97">
        <v>86.1</v>
      </c>
      <c r="H559" s="90" t="s">
        <v>13</v>
      </c>
      <c r="L559" s="92">
        <v>101700</v>
      </c>
    </row>
    <row r="560" spans="1:12" x14ac:dyDescent="0.25">
      <c r="C560" s="91" t="s">
        <v>784</v>
      </c>
      <c r="D560" s="98">
        <f>SUM(D547:D559)</f>
        <v>0</v>
      </c>
      <c r="E560" s="98">
        <f t="shared" ref="E560:F560" si="34">SUM(E547:E559)</f>
        <v>800230</v>
      </c>
      <c r="F560" s="98">
        <f t="shared" si="34"/>
        <v>792002.72</v>
      </c>
    </row>
    <row r="561" spans="1:12" x14ac:dyDescent="0.25">
      <c r="A561" s="90" t="s">
        <v>73</v>
      </c>
      <c r="B561" s="90" t="s">
        <v>592</v>
      </c>
      <c r="C561" s="90" t="s">
        <v>593</v>
      </c>
      <c r="D561" s="92">
        <v>3708970</v>
      </c>
      <c r="E561" s="92">
        <v>3708970</v>
      </c>
      <c r="F561" s="93">
        <v>2961119.57</v>
      </c>
      <c r="G561" s="97">
        <v>79.8</v>
      </c>
      <c r="H561" s="90" t="s">
        <v>13</v>
      </c>
      <c r="L561" s="92">
        <v>0</v>
      </c>
    </row>
    <row r="562" spans="1:12" x14ac:dyDescent="0.25">
      <c r="A562" s="90" t="s">
        <v>73</v>
      </c>
      <c r="B562" s="90" t="s">
        <v>594</v>
      </c>
      <c r="C562" s="90" t="s">
        <v>595</v>
      </c>
      <c r="D562" s="92">
        <v>400000</v>
      </c>
      <c r="E562" s="92">
        <v>400000</v>
      </c>
      <c r="F562" s="93">
        <v>497942</v>
      </c>
      <c r="G562" s="97">
        <v>124.5</v>
      </c>
      <c r="H562" s="90" t="s">
        <v>158</v>
      </c>
      <c r="L562" s="92">
        <v>0</v>
      </c>
    </row>
    <row r="563" spans="1:12" x14ac:dyDescent="0.25">
      <c r="A563" s="90" t="s">
        <v>73</v>
      </c>
      <c r="B563" s="90" t="s">
        <v>596</v>
      </c>
      <c r="C563" s="90" t="s">
        <v>597</v>
      </c>
      <c r="D563" s="92">
        <v>254757</v>
      </c>
      <c r="E563" s="92">
        <v>254757</v>
      </c>
      <c r="F563" s="93">
        <v>208047.3</v>
      </c>
      <c r="G563" s="97">
        <v>81.7</v>
      </c>
      <c r="H563" s="90" t="s">
        <v>13</v>
      </c>
      <c r="L563" s="92">
        <v>0</v>
      </c>
    </row>
    <row r="564" spans="1:12" x14ac:dyDescent="0.25">
      <c r="A564" s="90" t="s">
        <v>73</v>
      </c>
      <c r="B564" s="90" t="s">
        <v>598</v>
      </c>
      <c r="C564" s="90" t="s">
        <v>599</v>
      </c>
      <c r="D564" s="92">
        <v>59581</v>
      </c>
      <c r="E564" s="92">
        <v>59581</v>
      </c>
      <c r="F564" s="93">
        <v>48656.19</v>
      </c>
      <c r="G564" s="97">
        <v>81.7</v>
      </c>
      <c r="H564" s="90" t="s">
        <v>13</v>
      </c>
      <c r="L564" s="92">
        <v>0</v>
      </c>
    </row>
    <row r="565" spans="1:12" x14ac:dyDescent="0.25">
      <c r="A565" s="90" t="s">
        <v>73</v>
      </c>
      <c r="B565" s="90" t="s">
        <v>600</v>
      </c>
      <c r="C565" s="90" t="s">
        <v>601</v>
      </c>
      <c r="D565" s="92">
        <v>93813</v>
      </c>
      <c r="E565" s="92">
        <v>93813</v>
      </c>
      <c r="F565" s="93">
        <v>56505.82</v>
      </c>
      <c r="G565" s="97">
        <v>60.2</v>
      </c>
      <c r="H565" s="90" t="s">
        <v>13</v>
      </c>
      <c r="L565" s="92">
        <v>0</v>
      </c>
    </row>
    <row r="566" spans="1:12" x14ac:dyDescent="0.25">
      <c r="A566" s="90" t="s">
        <v>73</v>
      </c>
      <c r="B566" s="90" t="s">
        <v>602</v>
      </c>
      <c r="C566" s="90" t="s">
        <v>603</v>
      </c>
      <c r="D566" s="92">
        <v>681570</v>
      </c>
      <c r="E566" s="92">
        <v>681570</v>
      </c>
      <c r="F566" s="93">
        <v>630686.54</v>
      </c>
      <c r="G566" s="97">
        <v>92.5</v>
      </c>
      <c r="H566" s="90" t="s">
        <v>13</v>
      </c>
      <c r="L566" s="92">
        <v>0</v>
      </c>
    </row>
    <row r="567" spans="1:12" x14ac:dyDescent="0.25">
      <c r="A567" s="90" t="s">
        <v>73</v>
      </c>
      <c r="B567" s="90" t="s">
        <v>606</v>
      </c>
      <c r="C567" s="90" t="s">
        <v>607</v>
      </c>
      <c r="D567" s="92">
        <v>5210</v>
      </c>
      <c r="E567" s="92">
        <v>5210</v>
      </c>
      <c r="F567" s="93">
        <v>4046.59</v>
      </c>
      <c r="G567" s="97">
        <v>77.7</v>
      </c>
      <c r="H567" s="90" t="s">
        <v>13</v>
      </c>
      <c r="L567" s="92">
        <v>0</v>
      </c>
    </row>
    <row r="568" spans="1:12" x14ac:dyDescent="0.25">
      <c r="A568" s="90" t="s">
        <v>73</v>
      </c>
      <c r="B568" s="90" t="s">
        <v>608</v>
      </c>
      <c r="C568" s="90" t="s">
        <v>609</v>
      </c>
      <c r="D568" s="92">
        <v>1200</v>
      </c>
      <c r="E568" s="92">
        <v>1200</v>
      </c>
      <c r="F568" s="93">
        <v>172.55</v>
      </c>
      <c r="G568" s="97">
        <v>14.4</v>
      </c>
      <c r="H568" s="90" t="s">
        <v>13</v>
      </c>
      <c r="L568" s="92">
        <v>0</v>
      </c>
    </row>
    <row r="569" spans="1:12" x14ac:dyDescent="0.25">
      <c r="A569" s="90" t="s">
        <v>73</v>
      </c>
      <c r="B569" s="90" t="s">
        <v>674</v>
      </c>
      <c r="C569" s="90" t="s">
        <v>675</v>
      </c>
      <c r="D569" s="92">
        <v>860</v>
      </c>
      <c r="E569" s="92">
        <v>860</v>
      </c>
      <c r="F569" s="93">
        <v>125</v>
      </c>
      <c r="G569" s="97">
        <v>14.5</v>
      </c>
      <c r="H569" s="90" t="s">
        <v>13</v>
      </c>
      <c r="L569" s="92">
        <v>0</v>
      </c>
    </row>
    <row r="570" spans="1:12" x14ac:dyDescent="0.25">
      <c r="A570" s="90" t="s">
        <v>73</v>
      </c>
      <c r="B570" s="90" t="s">
        <v>634</v>
      </c>
      <c r="C570" s="90" t="s">
        <v>635</v>
      </c>
      <c r="D570" s="92">
        <v>8000</v>
      </c>
      <c r="E570" s="92">
        <v>8000</v>
      </c>
      <c r="F570" s="93">
        <v>6762.16</v>
      </c>
      <c r="G570" s="97">
        <v>84.5</v>
      </c>
      <c r="H570" s="90" t="s">
        <v>13</v>
      </c>
      <c r="L570" s="92">
        <v>0</v>
      </c>
    </row>
    <row r="571" spans="1:12" x14ac:dyDescent="0.25">
      <c r="A571" s="90" t="s">
        <v>73</v>
      </c>
      <c r="B571" s="90" t="s">
        <v>636</v>
      </c>
      <c r="C571" s="90" t="s">
        <v>637</v>
      </c>
      <c r="D571" s="92">
        <v>16000</v>
      </c>
      <c r="E571" s="92">
        <v>16000</v>
      </c>
      <c r="F571" s="93">
        <v>10052.11</v>
      </c>
      <c r="G571" s="97">
        <v>62.8</v>
      </c>
      <c r="H571" s="90" t="s">
        <v>13</v>
      </c>
      <c r="L571" s="92">
        <v>0</v>
      </c>
    </row>
    <row r="572" spans="1:12" x14ac:dyDescent="0.25">
      <c r="A572" s="90" t="s">
        <v>73</v>
      </c>
      <c r="B572" s="90" t="s">
        <v>661</v>
      </c>
      <c r="C572" s="90" t="s">
        <v>662</v>
      </c>
      <c r="D572" s="92">
        <v>68000</v>
      </c>
      <c r="E572" s="92">
        <v>54000</v>
      </c>
      <c r="F572" s="93">
        <v>48535.56</v>
      </c>
      <c r="G572" s="97">
        <v>89.9</v>
      </c>
      <c r="H572" s="90" t="s">
        <v>13</v>
      </c>
      <c r="L572" s="92">
        <v>-14000</v>
      </c>
    </row>
    <row r="573" spans="1:12" x14ac:dyDescent="0.25">
      <c r="A573" s="90" t="s">
        <v>73</v>
      </c>
      <c r="B573" s="90" t="s">
        <v>610</v>
      </c>
      <c r="C573" s="90" t="s">
        <v>611</v>
      </c>
      <c r="D573" s="92">
        <v>5500</v>
      </c>
      <c r="E573" s="92">
        <v>5500</v>
      </c>
      <c r="F573" s="93">
        <v>4546.92</v>
      </c>
      <c r="G573" s="97">
        <v>82.7</v>
      </c>
      <c r="H573" s="90" t="s">
        <v>13</v>
      </c>
      <c r="L573" s="92">
        <v>0</v>
      </c>
    </row>
    <row r="574" spans="1:12" x14ac:dyDescent="0.25">
      <c r="A574" s="90" t="s">
        <v>73</v>
      </c>
      <c r="B574" s="90" t="s">
        <v>612</v>
      </c>
      <c r="C574" s="90" t="s">
        <v>613</v>
      </c>
      <c r="D574" s="92">
        <v>1685630</v>
      </c>
      <c r="E574" s="92">
        <v>1685630</v>
      </c>
      <c r="F574" s="93">
        <v>1570912.25</v>
      </c>
      <c r="G574" s="97">
        <v>93.2</v>
      </c>
      <c r="H574" s="90" t="s">
        <v>13</v>
      </c>
      <c r="L574" s="92">
        <v>0</v>
      </c>
    </row>
    <row r="575" spans="1:12" x14ac:dyDescent="0.25">
      <c r="A575" s="90" t="s">
        <v>73</v>
      </c>
      <c r="B575" s="90" t="s">
        <v>682</v>
      </c>
      <c r="C575" s="90" t="s">
        <v>683</v>
      </c>
      <c r="D575" s="92">
        <v>4400</v>
      </c>
      <c r="E575" s="92">
        <v>4400</v>
      </c>
      <c r="F575" s="93">
        <v>2177</v>
      </c>
      <c r="G575" s="97">
        <v>49.5</v>
      </c>
      <c r="H575" s="90" t="s">
        <v>13</v>
      </c>
      <c r="L575" s="92">
        <v>0</v>
      </c>
    </row>
    <row r="576" spans="1:12" x14ac:dyDescent="0.25">
      <c r="A576" s="90" t="s">
        <v>73</v>
      </c>
      <c r="B576" s="90" t="s">
        <v>785</v>
      </c>
      <c r="C576" s="90" t="s">
        <v>786</v>
      </c>
      <c r="D576" s="92">
        <v>303512</v>
      </c>
      <c r="E576" s="92">
        <v>344512</v>
      </c>
      <c r="F576" s="93">
        <v>347215.13</v>
      </c>
      <c r="G576" s="97">
        <v>100.8</v>
      </c>
      <c r="H576" s="90" t="s">
        <v>158</v>
      </c>
      <c r="J576" s="24" t="s">
        <v>152</v>
      </c>
      <c r="L576" s="92">
        <v>41000</v>
      </c>
    </row>
    <row r="577" spans="1:12" x14ac:dyDescent="0.25">
      <c r="A577" s="90" t="s">
        <v>73</v>
      </c>
      <c r="B577" s="90" t="s">
        <v>616</v>
      </c>
      <c r="C577" s="90" t="s">
        <v>617</v>
      </c>
      <c r="D577" s="92">
        <v>1785</v>
      </c>
      <c r="E577" s="92">
        <v>1785</v>
      </c>
      <c r="F577" s="93">
        <v>1971.88</v>
      </c>
      <c r="G577" s="97">
        <v>110.5</v>
      </c>
      <c r="H577" s="90" t="s">
        <v>158</v>
      </c>
      <c r="L577" s="92">
        <v>0</v>
      </c>
    </row>
    <row r="578" spans="1:12" x14ac:dyDescent="0.25">
      <c r="A578" s="90" t="s">
        <v>73</v>
      </c>
      <c r="B578" s="90" t="s">
        <v>618</v>
      </c>
      <c r="C578" s="90" t="s">
        <v>619</v>
      </c>
      <c r="D578" s="92">
        <v>30000</v>
      </c>
      <c r="E578" s="92">
        <v>25000</v>
      </c>
      <c r="F578" s="93">
        <v>19756.650000000001</v>
      </c>
      <c r="G578" s="97">
        <v>79</v>
      </c>
      <c r="H578" s="90" t="s">
        <v>13</v>
      </c>
      <c r="L578" s="92">
        <v>-5000</v>
      </c>
    </row>
    <row r="579" spans="1:12" x14ac:dyDescent="0.25">
      <c r="A579" s="90" t="s">
        <v>73</v>
      </c>
      <c r="B579" s="90" t="s">
        <v>622</v>
      </c>
      <c r="C579" s="90" t="s">
        <v>623</v>
      </c>
      <c r="D579" s="92">
        <v>47000</v>
      </c>
      <c r="E579" s="92">
        <v>47000</v>
      </c>
      <c r="F579" s="93">
        <v>43638.239999999998</v>
      </c>
      <c r="G579" s="97">
        <v>92.8</v>
      </c>
      <c r="H579" s="90" t="s">
        <v>13</v>
      </c>
      <c r="L579" s="92">
        <v>0</v>
      </c>
    </row>
    <row r="580" spans="1:12" x14ac:dyDescent="0.25">
      <c r="A580" s="90" t="s">
        <v>73</v>
      </c>
      <c r="B580" s="90" t="s">
        <v>663</v>
      </c>
      <c r="C580" s="90" t="s">
        <v>664</v>
      </c>
      <c r="D580" s="92">
        <v>55000</v>
      </c>
      <c r="E580" s="92">
        <v>38000</v>
      </c>
      <c r="F580" s="93">
        <v>34903.08</v>
      </c>
      <c r="G580" s="97">
        <v>91.9</v>
      </c>
      <c r="H580" s="90" t="s">
        <v>13</v>
      </c>
      <c r="L580" s="92">
        <v>-17000</v>
      </c>
    </row>
    <row r="581" spans="1:12" x14ac:dyDescent="0.25">
      <c r="A581" s="90" t="s">
        <v>73</v>
      </c>
      <c r="B581" s="90" t="s">
        <v>624</v>
      </c>
      <c r="C581" s="90" t="s">
        <v>625</v>
      </c>
      <c r="D581" s="92">
        <v>14622</v>
      </c>
      <c r="E581" s="92">
        <v>9622</v>
      </c>
      <c r="F581" s="93">
        <v>5810.41</v>
      </c>
      <c r="G581" s="97">
        <v>60.4</v>
      </c>
      <c r="H581" s="90" t="s">
        <v>13</v>
      </c>
      <c r="L581" s="92">
        <v>-5000</v>
      </c>
    </row>
    <row r="582" spans="1:12" x14ac:dyDescent="0.25">
      <c r="C582" s="91" t="s">
        <v>787</v>
      </c>
      <c r="D582" s="98">
        <f>SUM(D561:D581)</f>
        <v>7445410</v>
      </c>
      <c r="E582" s="98">
        <f t="shared" ref="E582:F582" si="35">SUM(E561:E581)</f>
        <v>7445410</v>
      </c>
      <c r="F582" s="98">
        <f t="shared" si="35"/>
        <v>6503582.9500000002</v>
      </c>
    </row>
    <row r="583" spans="1:12" x14ac:dyDescent="0.25">
      <c r="A583" s="90" t="s">
        <v>75</v>
      </c>
      <c r="B583" s="90" t="s">
        <v>592</v>
      </c>
      <c r="C583" s="90" t="s">
        <v>593</v>
      </c>
      <c r="D583" s="92">
        <v>1338478</v>
      </c>
      <c r="E583" s="92">
        <v>1292478</v>
      </c>
      <c r="F583" s="93">
        <v>1158393.78</v>
      </c>
      <c r="G583" s="97">
        <v>89.6</v>
      </c>
      <c r="H583" s="90" t="s">
        <v>13</v>
      </c>
      <c r="L583" s="92">
        <v>-46000</v>
      </c>
    </row>
    <row r="584" spans="1:12" x14ac:dyDescent="0.25">
      <c r="A584" s="90" t="s">
        <v>75</v>
      </c>
      <c r="B584" s="90" t="s">
        <v>594</v>
      </c>
      <c r="C584" s="90" t="s">
        <v>595</v>
      </c>
      <c r="D584" s="92">
        <v>550</v>
      </c>
      <c r="E584" s="92">
        <v>1650</v>
      </c>
      <c r="F584" s="93">
        <v>1647.04</v>
      </c>
      <c r="G584" s="97">
        <v>99.8</v>
      </c>
      <c r="H584" s="90" t="s">
        <v>13</v>
      </c>
      <c r="L584" s="92">
        <v>1100</v>
      </c>
    </row>
    <row r="585" spans="1:12" x14ac:dyDescent="0.25">
      <c r="A585" s="90" t="s">
        <v>75</v>
      </c>
      <c r="B585" s="90" t="s">
        <v>596</v>
      </c>
      <c r="C585" s="90" t="s">
        <v>597</v>
      </c>
      <c r="D585" s="92">
        <v>83019</v>
      </c>
      <c r="E585" s="92">
        <v>83019</v>
      </c>
      <c r="F585" s="93">
        <v>69845.7</v>
      </c>
      <c r="G585" s="97">
        <v>84.1</v>
      </c>
      <c r="H585" s="90" t="s">
        <v>13</v>
      </c>
      <c r="L585" s="92">
        <v>0</v>
      </c>
    </row>
    <row r="586" spans="1:12" x14ac:dyDescent="0.25">
      <c r="A586" s="90" t="s">
        <v>75</v>
      </c>
      <c r="B586" s="90" t="s">
        <v>598</v>
      </c>
      <c r="C586" s="90" t="s">
        <v>599</v>
      </c>
      <c r="D586" s="92">
        <v>19416</v>
      </c>
      <c r="E586" s="92">
        <v>19416</v>
      </c>
      <c r="F586" s="93">
        <v>16334.83</v>
      </c>
      <c r="G586" s="97">
        <v>84.1</v>
      </c>
      <c r="H586" s="90" t="s">
        <v>13</v>
      </c>
      <c r="L586" s="92">
        <v>0</v>
      </c>
    </row>
    <row r="587" spans="1:12" x14ac:dyDescent="0.25">
      <c r="A587" s="90" t="s">
        <v>75</v>
      </c>
      <c r="B587" s="90" t="s">
        <v>600</v>
      </c>
      <c r="C587" s="90" t="s">
        <v>601</v>
      </c>
      <c r="D587" s="92">
        <v>211707</v>
      </c>
      <c r="E587" s="92">
        <v>211707</v>
      </c>
      <c r="F587" s="93">
        <v>191421.6</v>
      </c>
      <c r="G587" s="97">
        <v>90.4</v>
      </c>
      <c r="H587" s="90" t="s">
        <v>13</v>
      </c>
      <c r="L587" s="92">
        <v>0</v>
      </c>
    </row>
    <row r="588" spans="1:12" x14ac:dyDescent="0.25">
      <c r="A588" s="90" t="s">
        <v>75</v>
      </c>
      <c r="B588" s="90" t="s">
        <v>602</v>
      </c>
      <c r="C588" s="90" t="s">
        <v>603</v>
      </c>
      <c r="D588" s="92">
        <v>11661</v>
      </c>
      <c r="E588" s="92">
        <v>11661</v>
      </c>
      <c r="F588" s="93">
        <v>12398.86</v>
      </c>
      <c r="G588" s="97">
        <v>106.3</v>
      </c>
      <c r="H588" s="90" t="s">
        <v>158</v>
      </c>
      <c r="L588" s="92">
        <v>0</v>
      </c>
    </row>
    <row r="589" spans="1:12" x14ac:dyDescent="0.25">
      <c r="A589" s="90" t="s">
        <v>75</v>
      </c>
      <c r="B589" s="90" t="s">
        <v>604</v>
      </c>
      <c r="C589" s="90" t="s">
        <v>605</v>
      </c>
      <c r="D589" s="92">
        <v>5500</v>
      </c>
      <c r="E589" s="92">
        <v>4350</v>
      </c>
      <c r="F589" s="93">
        <v>2031.53</v>
      </c>
      <c r="G589" s="97">
        <v>46.7</v>
      </c>
      <c r="H589" s="90" t="s">
        <v>13</v>
      </c>
      <c r="L589" s="92">
        <v>-1150</v>
      </c>
    </row>
    <row r="590" spans="1:12" x14ac:dyDescent="0.25">
      <c r="A590" s="90" t="s">
        <v>75</v>
      </c>
      <c r="B590" s="90" t="s">
        <v>606</v>
      </c>
      <c r="C590" s="90" t="s">
        <v>607</v>
      </c>
      <c r="D590" s="92">
        <v>5100</v>
      </c>
      <c r="E590" s="92">
        <v>2180</v>
      </c>
      <c r="F590" s="93">
        <v>285.7</v>
      </c>
      <c r="G590" s="97">
        <v>13.1</v>
      </c>
      <c r="H590" s="90" t="s">
        <v>13</v>
      </c>
      <c r="L590" s="92">
        <v>-2920</v>
      </c>
    </row>
    <row r="591" spans="1:12" x14ac:dyDescent="0.25">
      <c r="A591" s="90" t="s">
        <v>75</v>
      </c>
      <c r="B591" s="90" t="s">
        <v>608</v>
      </c>
      <c r="C591" s="90" t="s">
        <v>609</v>
      </c>
      <c r="D591" s="92">
        <v>11000</v>
      </c>
      <c r="E591" s="92">
        <v>8950</v>
      </c>
      <c r="F591" s="93">
        <v>5297.28</v>
      </c>
      <c r="G591" s="97">
        <v>59.2</v>
      </c>
      <c r="H591" s="90" t="s">
        <v>13</v>
      </c>
      <c r="L591" s="92">
        <v>-2050</v>
      </c>
    </row>
    <row r="592" spans="1:12" x14ac:dyDescent="0.25">
      <c r="A592" s="90" t="s">
        <v>75</v>
      </c>
      <c r="B592" s="90" t="s">
        <v>634</v>
      </c>
      <c r="C592" s="90" t="s">
        <v>635</v>
      </c>
      <c r="D592" s="92">
        <v>61520</v>
      </c>
      <c r="E592" s="92">
        <v>16520</v>
      </c>
      <c r="F592" s="93">
        <v>0</v>
      </c>
      <c r="G592" s="97">
        <v>0</v>
      </c>
      <c r="H592" s="90" t="s">
        <v>13</v>
      </c>
      <c r="L592" s="92">
        <v>-45000</v>
      </c>
    </row>
    <row r="593" spans="1:12" x14ac:dyDescent="0.25">
      <c r="A593" s="90" t="s">
        <v>75</v>
      </c>
      <c r="B593" s="90" t="s">
        <v>636</v>
      </c>
      <c r="C593" s="90" t="s">
        <v>637</v>
      </c>
      <c r="D593" s="92">
        <v>2174</v>
      </c>
      <c r="E593" s="92">
        <v>2174</v>
      </c>
      <c r="F593" s="93">
        <v>0</v>
      </c>
      <c r="G593" s="97">
        <v>0</v>
      </c>
      <c r="H593" s="90" t="s">
        <v>13</v>
      </c>
      <c r="L593" s="92">
        <v>0</v>
      </c>
    </row>
    <row r="594" spans="1:12" x14ac:dyDescent="0.25">
      <c r="A594" s="90" t="s">
        <v>75</v>
      </c>
      <c r="B594" s="90" t="s">
        <v>610</v>
      </c>
      <c r="C594" s="90" t="s">
        <v>611</v>
      </c>
      <c r="D594" s="92">
        <v>2000</v>
      </c>
      <c r="E594" s="92">
        <v>3943.16</v>
      </c>
      <c r="F594" s="93">
        <v>2270.54</v>
      </c>
      <c r="G594" s="97">
        <v>57.6</v>
      </c>
      <c r="H594" s="90" t="s">
        <v>13</v>
      </c>
      <c r="L594" s="92">
        <v>1943.16</v>
      </c>
    </row>
    <row r="595" spans="1:12" x14ac:dyDescent="0.25">
      <c r="A595" s="90" t="s">
        <v>75</v>
      </c>
      <c r="B595" s="90" t="s">
        <v>612</v>
      </c>
      <c r="C595" s="90" t="s">
        <v>613</v>
      </c>
      <c r="D595" s="92">
        <v>26500</v>
      </c>
      <c r="E595" s="92">
        <v>2270</v>
      </c>
      <c r="F595" s="93">
        <v>2230</v>
      </c>
      <c r="G595" s="97">
        <v>98.2</v>
      </c>
      <c r="H595" s="90" t="s">
        <v>13</v>
      </c>
      <c r="L595" s="92">
        <v>-24230</v>
      </c>
    </row>
    <row r="596" spans="1:12" x14ac:dyDescent="0.25">
      <c r="A596" s="90" t="s">
        <v>75</v>
      </c>
      <c r="B596" s="90" t="s">
        <v>696</v>
      </c>
      <c r="C596" s="90" t="s">
        <v>697</v>
      </c>
      <c r="D596" s="92">
        <v>0</v>
      </c>
      <c r="E596" s="92">
        <v>220</v>
      </c>
      <c r="F596" s="93">
        <v>0</v>
      </c>
      <c r="G596" s="97">
        <v>0</v>
      </c>
      <c r="H596" s="90" t="s">
        <v>13</v>
      </c>
      <c r="L596" s="92">
        <v>220</v>
      </c>
    </row>
    <row r="597" spans="1:12" x14ac:dyDescent="0.25">
      <c r="A597" s="90" t="s">
        <v>75</v>
      </c>
      <c r="B597" s="90" t="s">
        <v>631</v>
      </c>
      <c r="C597" s="90" t="s">
        <v>632</v>
      </c>
      <c r="D597" s="92">
        <v>350</v>
      </c>
      <c r="E597" s="92">
        <v>0</v>
      </c>
      <c r="F597" s="93">
        <v>0</v>
      </c>
      <c r="G597" s="97">
        <v>0</v>
      </c>
      <c r="H597" s="90" t="s">
        <v>13</v>
      </c>
      <c r="L597" s="92">
        <v>-350</v>
      </c>
    </row>
    <row r="598" spans="1:12" x14ac:dyDescent="0.25">
      <c r="A598" s="90" t="s">
        <v>75</v>
      </c>
      <c r="B598" s="90" t="s">
        <v>616</v>
      </c>
      <c r="C598" s="90" t="s">
        <v>617</v>
      </c>
      <c r="D598" s="92">
        <v>6700</v>
      </c>
      <c r="E598" s="92">
        <v>31700</v>
      </c>
      <c r="F598" s="93">
        <v>28545.05</v>
      </c>
      <c r="G598" s="97">
        <v>90</v>
      </c>
      <c r="H598" s="90" t="s">
        <v>13</v>
      </c>
      <c r="L598" s="92">
        <v>25000</v>
      </c>
    </row>
    <row r="599" spans="1:12" x14ac:dyDescent="0.25">
      <c r="A599" s="90" t="s">
        <v>75</v>
      </c>
      <c r="B599" s="90" t="s">
        <v>618</v>
      </c>
      <c r="C599" s="90" t="s">
        <v>619</v>
      </c>
      <c r="D599" s="92">
        <v>9150</v>
      </c>
      <c r="E599" s="92">
        <v>9150</v>
      </c>
      <c r="F599" s="93">
        <v>1825.53</v>
      </c>
      <c r="G599" s="97">
        <v>20</v>
      </c>
      <c r="H599" s="90" t="s">
        <v>13</v>
      </c>
      <c r="L599" s="92">
        <v>0</v>
      </c>
    </row>
    <row r="600" spans="1:12" x14ac:dyDescent="0.25">
      <c r="A600" s="90" t="s">
        <v>75</v>
      </c>
      <c r="B600" s="90" t="s">
        <v>622</v>
      </c>
      <c r="C600" s="90" t="s">
        <v>623</v>
      </c>
      <c r="D600" s="92">
        <v>8000</v>
      </c>
      <c r="E600" s="92">
        <v>14080.28</v>
      </c>
      <c r="F600" s="93">
        <v>14038.99</v>
      </c>
      <c r="G600" s="97">
        <v>99.7</v>
      </c>
      <c r="H600" s="90" t="s">
        <v>13</v>
      </c>
      <c r="L600" s="92">
        <v>6080.28</v>
      </c>
    </row>
    <row r="601" spans="1:12" x14ac:dyDescent="0.25">
      <c r="A601" s="90" t="s">
        <v>75</v>
      </c>
      <c r="B601" s="90" t="s">
        <v>663</v>
      </c>
      <c r="C601" s="90" t="s">
        <v>664</v>
      </c>
      <c r="D601" s="92">
        <v>3000</v>
      </c>
      <c r="E601" s="92">
        <v>3400</v>
      </c>
      <c r="F601" s="93">
        <v>3368.53</v>
      </c>
      <c r="G601" s="97">
        <v>99.1</v>
      </c>
      <c r="H601" s="90" t="s">
        <v>13</v>
      </c>
      <c r="L601" s="92">
        <v>400</v>
      </c>
    </row>
    <row r="602" spans="1:12" x14ac:dyDescent="0.25">
      <c r="A602" s="90" t="s">
        <v>75</v>
      </c>
      <c r="B602" s="90" t="s">
        <v>624</v>
      </c>
      <c r="C602" s="90" t="s">
        <v>625</v>
      </c>
      <c r="D602" s="92">
        <v>6850</v>
      </c>
      <c r="E602" s="92">
        <v>6850</v>
      </c>
      <c r="F602" s="93">
        <v>0</v>
      </c>
      <c r="G602" s="97">
        <v>0</v>
      </c>
      <c r="H602" s="90" t="s">
        <v>13</v>
      </c>
      <c r="L602" s="92">
        <v>0</v>
      </c>
    </row>
    <row r="603" spans="1:12" x14ac:dyDescent="0.25">
      <c r="A603" s="90" t="s">
        <v>75</v>
      </c>
      <c r="B603" s="90" t="s">
        <v>764</v>
      </c>
      <c r="C603" s="90" t="s">
        <v>765</v>
      </c>
      <c r="D603" s="92">
        <v>0</v>
      </c>
      <c r="E603" s="92">
        <v>91000</v>
      </c>
      <c r="F603" s="93">
        <v>44628</v>
      </c>
      <c r="G603" s="97">
        <v>49</v>
      </c>
      <c r="H603" s="90" t="s">
        <v>13</v>
      </c>
      <c r="L603" s="92">
        <v>91000</v>
      </c>
    </row>
    <row r="604" spans="1:12" x14ac:dyDescent="0.25">
      <c r="C604" s="91" t="s">
        <v>788</v>
      </c>
      <c r="D604" s="98">
        <f>SUM(D583:D603)</f>
        <v>1812675</v>
      </c>
      <c r="E604" s="98">
        <f t="shared" ref="E604:F604" si="36">SUM(E583:E603)</f>
        <v>1816718.44</v>
      </c>
      <c r="F604" s="98">
        <f t="shared" si="36"/>
        <v>1554562.9600000004</v>
      </c>
    </row>
    <row r="605" spans="1:12" x14ac:dyDescent="0.25">
      <c r="A605" s="90" t="s">
        <v>77</v>
      </c>
      <c r="B605" s="90" t="s">
        <v>592</v>
      </c>
      <c r="C605" s="90" t="s">
        <v>593</v>
      </c>
      <c r="D605" s="92">
        <v>318930</v>
      </c>
      <c r="E605" s="92">
        <v>318930</v>
      </c>
      <c r="F605" s="93">
        <v>318764.56</v>
      </c>
      <c r="G605" s="97">
        <v>99.9</v>
      </c>
      <c r="H605" s="90" t="s">
        <v>13</v>
      </c>
      <c r="I605" s="24" t="s">
        <v>152</v>
      </c>
      <c r="L605" s="92">
        <v>0</v>
      </c>
    </row>
    <row r="606" spans="1:12" x14ac:dyDescent="0.25">
      <c r="A606" s="90" t="s">
        <v>77</v>
      </c>
      <c r="B606" s="90" t="s">
        <v>594</v>
      </c>
      <c r="C606" s="90" t="s">
        <v>595</v>
      </c>
      <c r="D606" s="92">
        <v>7000</v>
      </c>
      <c r="E606" s="92">
        <v>13000</v>
      </c>
      <c r="F606" s="93">
        <v>12645.69</v>
      </c>
      <c r="G606" s="97">
        <v>97.3</v>
      </c>
      <c r="H606" s="90" t="s">
        <v>13</v>
      </c>
      <c r="L606" s="92">
        <v>6000</v>
      </c>
    </row>
    <row r="607" spans="1:12" x14ac:dyDescent="0.25">
      <c r="A607" s="90" t="s">
        <v>77</v>
      </c>
      <c r="B607" s="90" t="s">
        <v>596</v>
      </c>
      <c r="C607" s="90" t="s">
        <v>597</v>
      </c>
      <c r="D607" s="92">
        <v>20208</v>
      </c>
      <c r="E607" s="92">
        <v>20208</v>
      </c>
      <c r="F607" s="93">
        <v>20130.919999999998</v>
      </c>
      <c r="G607" s="97">
        <v>99.6</v>
      </c>
      <c r="H607" s="90" t="s">
        <v>13</v>
      </c>
      <c r="L607" s="92">
        <v>0</v>
      </c>
    </row>
    <row r="608" spans="1:12" x14ac:dyDescent="0.25">
      <c r="A608" s="90" t="s">
        <v>77</v>
      </c>
      <c r="B608" s="90" t="s">
        <v>598</v>
      </c>
      <c r="C608" s="90" t="s">
        <v>599</v>
      </c>
      <c r="D608" s="92">
        <v>4726</v>
      </c>
      <c r="E608" s="92">
        <v>4726</v>
      </c>
      <c r="F608" s="93">
        <v>4708.03</v>
      </c>
      <c r="G608" s="97">
        <v>99.6</v>
      </c>
      <c r="H608" s="90" t="s">
        <v>13</v>
      </c>
      <c r="L608" s="92">
        <v>0</v>
      </c>
    </row>
    <row r="609" spans="1:12" x14ac:dyDescent="0.25">
      <c r="A609" s="90" t="s">
        <v>77</v>
      </c>
      <c r="B609" s="90" t="s">
        <v>600</v>
      </c>
      <c r="C609" s="90" t="s">
        <v>601</v>
      </c>
      <c r="D609" s="92">
        <v>53974</v>
      </c>
      <c r="E609" s="92">
        <v>53974</v>
      </c>
      <c r="F609" s="93">
        <v>56968.800000000003</v>
      </c>
      <c r="G609" s="97">
        <v>105.5</v>
      </c>
      <c r="H609" s="90" t="s">
        <v>158</v>
      </c>
      <c r="L609" s="92">
        <v>0</v>
      </c>
    </row>
    <row r="610" spans="1:12" x14ac:dyDescent="0.25">
      <c r="A610" s="90" t="s">
        <v>77</v>
      </c>
      <c r="B610" s="90" t="s">
        <v>606</v>
      </c>
      <c r="C610" s="90" t="s">
        <v>607</v>
      </c>
      <c r="D610" s="92">
        <v>2000</v>
      </c>
      <c r="E610" s="92">
        <v>2000</v>
      </c>
      <c r="F610" s="93">
        <v>1952.14</v>
      </c>
      <c r="G610" s="97">
        <v>97.6</v>
      </c>
      <c r="H610" s="90" t="s">
        <v>13</v>
      </c>
      <c r="L610" s="92">
        <v>0</v>
      </c>
    </row>
    <row r="611" spans="1:12" x14ac:dyDescent="0.25">
      <c r="A611" s="90" t="s">
        <v>77</v>
      </c>
      <c r="B611" s="90" t="s">
        <v>608</v>
      </c>
      <c r="C611" s="90" t="s">
        <v>609</v>
      </c>
      <c r="D611" s="92">
        <v>600</v>
      </c>
      <c r="E611" s="92">
        <v>600</v>
      </c>
      <c r="F611" s="93">
        <v>16.37</v>
      </c>
      <c r="G611" s="97">
        <v>2.7</v>
      </c>
      <c r="H611" s="90" t="s">
        <v>13</v>
      </c>
      <c r="L611" s="92">
        <v>0</v>
      </c>
    </row>
    <row r="612" spans="1:12" x14ac:dyDescent="0.25">
      <c r="A612" s="90" t="s">
        <v>77</v>
      </c>
      <c r="B612" s="90" t="s">
        <v>674</v>
      </c>
      <c r="C612" s="90" t="s">
        <v>675</v>
      </c>
      <c r="D612" s="92">
        <v>4000</v>
      </c>
      <c r="E612" s="92">
        <v>4000</v>
      </c>
      <c r="F612" s="93">
        <v>2906</v>
      </c>
      <c r="G612" s="97">
        <v>72.7</v>
      </c>
      <c r="H612" s="90" t="s">
        <v>13</v>
      </c>
      <c r="L612" s="92">
        <v>0</v>
      </c>
    </row>
    <row r="613" spans="1:12" x14ac:dyDescent="0.25">
      <c r="A613" s="90" t="s">
        <v>77</v>
      </c>
      <c r="B613" s="90" t="s">
        <v>634</v>
      </c>
      <c r="C613" s="90" t="s">
        <v>635</v>
      </c>
      <c r="D613" s="92">
        <v>690000</v>
      </c>
      <c r="E613" s="92">
        <v>690000</v>
      </c>
      <c r="F613" s="93">
        <v>690000</v>
      </c>
      <c r="G613" s="97">
        <v>100</v>
      </c>
      <c r="H613" s="90" t="s">
        <v>13</v>
      </c>
      <c r="L613" s="92">
        <v>0</v>
      </c>
    </row>
    <row r="614" spans="1:12" x14ac:dyDescent="0.25">
      <c r="A614" s="90" t="s">
        <v>77</v>
      </c>
      <c r="B614" s="90" t="s">
        <v>636</v>
      </c>
      <c r="C614" s="90" t="s">
        <v>637</v>
      </c>
      <c r="D614" s="92">
        <v>2000</v>
      </c>
      <c r="E614" s="92">
        <v>2000</v>
      </c>
      <c r="F614" s="93">
        <v>0</v>
      </c>
      <c r="G614" s="97">
        <v>0</v>
      </c>
      <c r="H614" s="90" t="s">
        <v>13</v>
      </c>
      <c r="L614" s="92">
        <v>0</v>
      </c>
    </row>
    <row r="615" spans="1:12" x14ac:dyDescent="0.25">
      <c r="A615" s="90" t="s">
        <v>77</v>
      </c>
      <c r="B615" s="90" t="s">
        <v>661</v>
      </c>
      <c r="C615" s="90" t="s">
        <v>662</v>
      </c>
      <c r="D615" s="92">
        <v>15800</v>
      </c>
      <c r="E615" s="92">
        <v>800</v>
      </c>
      <c r="F615" s="93">
        <v>0</v>
      </c>
      <c r="G615" s="97">
        <v>0</v>
      </c>
      <c r="H615" s="90" t="s">
        <v>13</v>
      </c>
      <c r="L615" s="92">
        <v>-15000</v>
      </c>
    </row>
    <row r="616" spans="1:12" x14ac:dyDescent="0.25">
      <c r="A616" s="90" t="s">
        <v>77</v>
      </c>
      <c r="B616" s="90" t="s">
        <v>610</v>
      </c>
      <c r="C616" s="90" t="s">
        <v>611</v>
      </c>
      <c r="D616" s="92">
        <v>600</v>
      </c>
      <c r="E616" s="92">
        <v>600</v>
      </c>
      <c r="F616" s="93">
        <v>673.08</v>
      </c>
      <c r="G616" s="97">
        <v>112.2</v>
      </c>
      <c r="H616" s="90" t="s">
        <v>158</v>
      </c>
      <c r="L616" s="92">
        <v>0</v>
      </c>
    </row>
    <row r="617" spans="1:12" x14ac:dyDescent="0.25">
      <c r="A617" s="90" t="s">
        <v>77</v>
      </c>
      <c r="B617" s="90" t="s">
        <v>612</v>
      </c>
      <c r="C617" s="90" t="s">
        <v>613</v>
      </c>
      <c r="D617" s="92">
        <v>100000</v>
      </c>
      <c r="E617" s="92">
        <v>115000</v>
      </c>
      <c r="F617" s="93">
        <v>105840.91</v>
      </c>
      <c r="G617" s="97">
        <v>92</v>
      </c>
      <c r="H617" s="90" t="s">
        <v>13</v>
      </c>
      <c r="L617" s="92">
        <v>15000</v>
      </c>
    </row>
    <row r="618" spans="1:12" x14ac:dyDescent="0.25">
      <c r="A618" s="90" t="s">
        <v>77</v>
      </c>
      <c r="B618" s="90" t="s">
        <v>618</v>
      </c>
      <c r="C618" s="90" t="s">
        <v>619</v>
      </c>
      <c r="D618" s="92">
        <v>1500</v>
      </c>
      <c r="E618" s="92">
        <v>1500</v>
      </c>
      <c r="F618" s="93">
        <v>1232.77</v>
      </c>
      <c r="G618" s="97">
        <v>82.2</v>
      </c>
      <c r="H618" s="90" t="s">
        <v>13</v>
      </c>
      <c r="L618" s="92">
        <v>0</v>
      </c>
    </row>
    <row r="619" spans="1:12" x14ac:dyDescent="0.25">
      <c r="A619" s="90" t="s">
        <v>77</v>
      </c>
      <c r="B619" s="90" t="s">
        <v>622</v>
      </c>
      <c r="C619" s="90" t="s">
        <v>623</v>
      </c>
      <c r="D619" s="92">
        <v>40000</v>
      </c>
      <c r="E619" s="92">
        <v>31500</v>
      </c>
      <c r="F619" s="93">
        <v>29491</v>
      </c>
      <c r="G619" s="97">
        <v>93.6</v>
      </c>
      <c r="H619" s="90" t="s">
        <v>13</v>
      </c>
      <c r="L619" s="92">
        <v>-8500</v>
      </c>
    </row>
    <row r="620" spans="1:12" x14ac:dyDescent="0.25">
      <c r="A620" s="90" t="s">
        <v>77</v>
      </c>
      <c r="B620" s="90" t="s">
        <v>663</v>
      </c>
      <c r="C620" s="90" t="s">
        <v>664</v>
      </c>
      <c r="D620" s="92">
        <v>3000</v>
      </c>
      <c r="E620" s="92">
        <v>3000</v>
      </c>
      <c r="F620" s="93">
        <v>1203.3</v>
      </c>
      <c r="G620" s="97">
        <v>40.1</v>
      </c>
      <c r="H620" s="90" t="s">
        <v>13</v>
      </c>
      <c r="J620" s="24" t="s">
        <v>152</v>
      </c>
      <c r="L620" s="92">
        <v>0</v>
      </c>
    </row>
    <row r="621" spans="1:12" x14ac:dyDescent="0.25">
      <c r="A621" s="90" t="s">
        <v>77</v>
      </c>
      <c r="B621" s="90" t="s">
        <v>764</v>
      </c>
      <c r="C621" s="90" t="s">
        <v>765</v>
      </c>
      <c r="D621" s="92">
        <v>0</v>
      </c>
      <c r="E621" s="92">
        <v>48606</v>
      </c>
      <c r="F621" s="93">
        <v>46123.62</v>
      </c>
      <c r="G621" s="97">
        <v>94.9</v>
      </c>
      <c r="H621" s="90" t="s">
        <v>13</v>
      </c>
      <c r="L621" s="92">
        <v>48606</v>
      </c>
    </row>
    <row r="622" spans="1:12" x14ac:dyDescent="0.25">
      <c r="A622" s="90" t="s">
        <v>77</v>
      </c>
      <c r="B622" s="90" t="s">
        <v>648</v>
      </c>
      <c r="C622" s="90" t="s">
        <v>649</v>
      </c>
      <c r="D622" s="92">
        <v>1500</v>
      </c>
      <c r="E622" s="92">
        <v>1500</v>
      </c>
      <c r="F622" s="93">
        <v>3036.32</v>
      </c>
      <c r="G622" s="97">
        <v>202.4</v>
      </c>
      <c r="H622" s="90" t="s">
        <v>158</v>
      </c>
      <c r="L622" s="92">
        <v>0</v>
      </c>
    </row>
    <row r="623" spans="1:12" x14ac:dyDescent="0.25">
      <c r="C623" s="91" t="s">
        <v>789</v>
      </c>
      <c r="D623" s="98">
        <f>SUM(D605:D622)</f>
        <v>1265838</v>
      </c>
      <c r="E623" s="98">
        <f t="shared" ref="E623:F623" si="37">SUM(E605:E622)</f>
        <v>1311944</v>
      </c>
      <c r="F623" s="98">
        <f t="shared" si="37"/>
        <v>1295693.5100000002</v>
      </c>
      <c r="L623" s="98">
        <f>SUM(L452:L622)</f>
        <v>1292500.44</v>
      </c>
    </row>
    <row r="624" spans="1:12" x14ac:dyDescent="0.25">
      <c r="A624" s="90" t="s">
        <v>79</v>
      </c>
      <c r="B624" s="90" t="s">
        <v>592</v>
      </c>
      <c r="C624" s="90" t="s">
        <v>593</v>
      </c>
      <c r="D624" s="92">
        <v>2357542</v>
      </c>
      <c r="E624" s="92">
        <v>2357542</v>
      </c>
      <c r="F624" s="93">
        <v>2073402.79</v>
      </c>
      <c r="G624" s="97">
        <v>87.9</v>
      </c>
      <c r="H624" s="90" t="s">
        <v>13</v>
      </c>
      <c r="L624" s="92">
        <v>0</v>
      </c>
    </row>
    <row r="625" spans="1:12" x14ac:dyDescent="0.25">
      <c r="A625" s="90" t="s">
        <v>79</v>
      </c>
      <c r="B625" s="90" t="s">
        <v>594</v>
      </c>
      <c r="C625" s="90" t="s">
        <v>595</v>
      </c>
      <c r="D625" s="92">
        <v>18000</v>
      </c>
      <c r="E625" s="92">
        <v>22924</v>
      </c>
      <c r="F625" s="93">
        <v>22923.360000000001</v>
      </c>
      <c r="G625" s="97">
        <v>100</v>
      </c>
      <c r="H625" s="90" t="s">
        <v>13</v>
      </c>
      <c r="L625" s="92">
        <v>4924</v>
      </c>
    </row>
    <row r="626" spans="1:12" x14ac:dyDescent="0.25">
      <c r="A626" s="90" t="s">
        <v>79</v>
      </c>
      <c r="B626" s="90" t="s">
        <v>596</v>
      </c>
      <c r="C626" s="90" t="s">
        <v>597</v>
      </c>
      <c r="D626" s="92">
        <v>147284</v>
      </c>
      <c r="E626" s="92">
        <v>147284</v>
      </c>
      <c r="F626" s="93">
        <v>126278.39</v>
      </c>
      <c r="G626" s="97">
        <v>85.7</v>
      </c>
      <c r="H626" s="90" t="s">
        <v>13</v>
      </c>
      <c r="L626" s="92">
        <v>0</v>
      </c>
    </row>
    <row r="627" spans="1:12" x14ac:dyDescent="0.25">
      <c r="A627" s="90" t="s">
        <v>79</v>
      </c>
      <c r="B627" s="90" t="s">
        <v>598</v>
      </c>
      <c r="C627" s="90" t="s">
        <v>599</v>
      </c>
      <c r="D627" s="92">
        <v>34445</v>
      </c>
      <c r="E627" s="92">
        <v>34445</v>
      </c>
      <c r="F627" s="93">
        <v>29532.78</v>
      </c>
      <c r="G627" s="97">
        <v>85.7</v>
      </c>
      <c r="H627" s="90" t="s">
        <v>13</v>
      </c>
      <c r="L627" s="92">
        <v>0</v>
      </c>
    </row>
    <row r="628" spans="1:12" x14ac:dyDescent="0.25">
      <c r="A628" s="90" t="s">
        <v>79</v>
      </c>
      <c r="B628" s="90" t="s">
        <v>600</v>
      </c>
      <c r="C628" s="90" t="s">
        <v>601</v>
      </c>
      <c r="D628" s="92">
        <v>393390</v>
      </c>
      <c r="E628" s="92">
        <v>393390</v>
      </c>
      <c r="F628" s="93">
        <v>362193.97</v>
      </c>
      <c r="G628" s="97">
        <v>92.1</v>
      </c>
      <c r="H628" s="90" t="s">
        <v>13</v>
      </c>
      <c r="L628" s="92">
        <v>0</v>
      </c>
    </row>
    <row r="629" spans="1:12" x14ac:dyDescent="0.25">
      <c r="A629" s="90" t="s">
        <v>79</v>
      </c>
      <c r="B629" s="90" t="s">
        <v>606</v>
      </c>
      <c r="C629" s="90" t="s">
        <v>607</v>
      </c>
      <c r="D629" s="92">
        <v>320</v>
      </c>
      <c r="E629" s="92">
        <v>320</v>
      </c>
      <c r="F629" s="93">
        <v>181.6</v>
      </c>
      <c r="G629" s="97">
        <v>56.8</v>
      </c>
      <c r="H629" s="90" t="s">
        <v>13</v>
      </c>
      <c r="L629" s="92">
        <v>0</v>
      </c>
    </row>
    <row r="630" spans="1:12" x14ac:dyDescent="0.25">
      <c r="A630" s="90" t="s">
        <v>79</v>
      </c>
      <c r="B630" s="90" t="s">
        <v>608</v>
      </c>
      <c r="C630" s="90" t="s">
        <v>609</v>
      </c>
      <c r="D630" s="92">
        <v>500</v>
      </c>
      <c r="E630" s="92">
        <v>500</v>
      </c>
      <c r="F630" s="93">
        <v>277.38</v>
      </c>
      <c r="G630" s="97">
        <v>55.5</v>
      </c>
      <c r="H630" s="90" t="s">
        <v>13</v>
      </c>
      <c r="L630" s="92">
        <v>0</v>
      </c>
    </row>
    <row r="631" spans="1:12" x14ac:dyDescent="0.25">
      <c r="A631" s="90" t="s">
        <v>79</v>
      </c>
      <c r="B631" s="90" t="s">
        <v>634</v>
      </c>
      <c r="C631" s="90" t="s">
        <v>635</v>
      </c>
      <c r="D631" s="92">
        <v>500000</v>
      </c>
      <c r="E631" s="92">
        <v>413500</v>
      </c>
      <c r="F631" s="93">
        <v>333754.73</v>
      </c>
      <c r="G631" s="97">
        <v>80.7</v>
      </c>
      <c r="H631" s="90" t="s">
        <v>13</v>
      </c>
      <c r="L631" s="92">
        <v>-86500</v>
      </c>
    </row>
    <row r="632" spans="1:12" x14ac:dyDescent="0.25">
      <c r="A632" s="90" t="s">
        <v>79</v>
      </c>
      <c r="B632" s="90" t="s">
        <v>636</v>
      </c>
      <c r="C632" s="90" t="s">
        <v>637</v>
      </c>
      <c r="D632" s="92">
        <v>12000</v>
      </c>
      <c r="E632" s="92">
        <v>12000</v>
      </c>
      <c r="F632" s="93">
        <v>5997.82</v>
      </c>
      <c r="G632" s="97">
        <v>50</v>
      </c>
      <c r="H632" s="90" t="s">
        <v>13</v>
      </c>
      <c r="L632" s="92">
        <v>0</v>
      </c>
    </row>
    <row r="633" spans="1:12" x14ac:dyDescent="0.25">
      <c r="A633" s="90" t="s">
        <v>79</v>
      </c>
      <c r="B633" s="90" t="s">
        <v>661</v>
      </c>
      <c r="C633" s="90" t="s">
        <v>662</v>
      </c>
      <c r="D633" s="92">
        <v>50000</v>
      </c>
      <c r="E633" s="92">
        <v>0</v>
      </c>
      <c r="F633" s="93">
        <v>0</v>
      </c>
      <c r="G633" s="97">
        <v>0</v>
      </c>
      <c r="H633" s="90" t="s">
        <v>13</v>
      </c>
      <c r="L633" s="92">
        <v>-50000</v>
      </c>
    </row>
    <row r="634" spans="1:12" x14ac:dyDescent="0.25">
      <c r="A634" s="90" t="s">
        <v>79</v>
      </c>
      <c r="B634" s="90" t="s">
        <v>610</v>
      </c>
      <c r="C634" s="90" t="s">
        <v>611</v>
      </c>
      <c r="D634" s="92">
        <v>8000</v>
      </c>
      <c r="E634" s="92">
        <v>14000</v>
      </c>
      <c r="F634" s="93">
        <v>11558.81</v>
      </c>
      <c r="G634" s="97">
        <v>82.6</v>
      </c>
      <c r="H634" s="90" t="s">
        <v>13</v>
      </c>
      <c r="L634" s="92">
        <v>6000</v>
      </c>
    </row>
    <row r="635" spans="1:12" x14ac:dyDescent="0.25">
      <c r="A635" s="90" t="s">
        <v>79</v>
      </c>
      <c r="B635" s="90" t="s">
        <v>612</v>
      </c>
      <c r="C635" s="90" t="s">
        <v>613</v>
      </c>
      <c r="D635" s="92">
        <v>25000</v>
      </c>
      <c r="E635" s="92">
        <v>69220</v>
      </c>
      <c r="F635" s="93">
        <v>30254.61</v>
      </c>
      <c r="G635" s="97">
        <v>43.7</v>
      </c>
      <c r="H635" s="90" t="s">
        <v>13</v>
      </c>
      <c r="L635" s="92">
        <v>44220</v>
      </c>
    </row>
    <row r="636" spans="1:12" x14ac:dyDescent="0.25">
      <c r="A636" s="90" t="s">
        <v>79</v>
      </c>
      <c r="B636" s="90" t="s">
        <v>682</v>
      </c>
      <c r="C636" s="90" t="s">
        <v>683</v>
      </c>
      <c r="D636" s="92">
        <v>345000</v>
      </c>
      <c r="E636" s="92">
        <v>476364</v>
      </c>
      <c r="F636" s="93">
        <v>452174.36</v>
      </c>
      <c r="G636" s="97">
        <v>94.9</v>
      </c>
      <c r="H636" s="90" t="s">
        <v>13</v>
      </c>
      <c r="L636" s="92">
        <v>131364</v>
      </c>
    </row>
    <row r="637" spans="1:12" x14ac:dyDescent="0.25">
      <c r="A637" s="90" t="s">
        <v>79</v>
      </c>
      <c r="B637" s="90" t="s">
        <v>631</v>
      </c>
      <c r="C637" s="90" t="s">
        <v>632</v>
      </c>
      <c r="D637" s="92">
        <v>12500</v>
      </c>
      <c r="E637" s="92">
        <v>0</v>
      </c>
      <c r="F637" s="93">
        <v>0</v>
      </c>
      <c r="G637" s="97">
        <v>0</v>
      </c>
      <c r="H637" s="90" t="s">
        <v>13</v>
      </c>
      <c r="L637" s="92">
        <v>-12500</v>
      </c>
    </row>
    <row r="638" spans="1:12" x14ac:dyDescent="0.25">
      <c r="A638" s="90" t="s">
        <v>79</v>
      </c>
      <c r="B638" s="90" t="s">
        <v>616</v>
      </c>
      <c r="C638" s="90" t="s">
        <v>617</v>
      </c>
      <c r="D638" s="92">
        <v>5500</v>
      </c>
      <c r="E638" s="92">
        <v>5500</v>
      </c>
      <c r="F638" s="93">
        <v>4537.68</v>
      </c>
      <c r="G638" s="97">
        <v>82.5</v>
      </c>
      <c r="H638" s="90" t="s">
        <v>13</v>
      </c>
      <c r="L638" s="92">
        <v>0</v>
      </c>
    </row>
    <row r="639" spans="1:12" x14ac:dyDescent="0.25">
      <c r="A639" s="90" t="s">
        <v>79</v>
      </c>
      <c r="B639" s="90" t="s">
        <v>618</v>
      </c>
      <c r="C639" s="90" t="s">
        <v>619</v>
      </c>
      <c r="D639" s="92">
        <v>25450</v>
      </c>
      <c r="E639" s="92">
        <v>31450</v>
      </c>
      <c r="F639" s="93">
        <v>24792.39</v>
      </c>
      <c r="G639" s="97">
        <v>78.8</v>
      </c>
      <c r="H639" s="90" t="s">
        <v>13</v>
      </c>
      <c r="L639" s="92">
        <v>6000</v>
      </c>
    </row>
    <row r="640" spans="1:12" x14ac:dyDescent="0.25">
      <c r="A640" s="90" t="s">
        <v>79</v>
      </c>
      <c r="B640" s="90" t="s">
        <v>622</v>
      </c>
      <c r="C640" s="90" t="s">
        <v>623</v>
      </c>
      <c r="D640" s="92">
        <v>185000</v>
      </c>
      <c r="E640" s="92">
        <v>322400</v>
      </c>
      <c r="F640" s="93">
        <v>269825.28999999998</v>
      </c>
      <c r="G640" s="97">
        <v>83.7</v>
      </c>
      <c r="H640" s="90" t="s">
        <v>13</v>
      </c>
      <c r="L640" s="92">
        <v>137400</v>
      </c>
    </row>
    <row r="641" spans="1:12" x14ac:dyDescent="0.25">
      <c r="A641" s="90" t="s">
        <v>79</v>
      </c>
      <c r="B641" s="90" t="s">
        <v>663</v>
      </c>
      <c r="C641" s="90" t="s">
        <v>664</v>
      </c>
      <c r="D641" s="92">
        <v>51000</v>
      </c>
      <c r="E641" s="92">
        <v>51000</v>
      </c>
      <c r="F641" s="93">
        <v>29686.87</v>
      </c>
      <c r="G641" s="97">
        <v>58.2</v>
      </c>
      <c r="H641" s="90" t="s">
        <v>13</v>
      </c>
      <c r="L641" s="92">
        <v>0</v>
      </c>
    </row>
    <row r="642" spans="1:12" x14ac:dyDescent="0.25">
      <c r="A642" s="90" t="s">
        <v>79</v>
      </c>
      <c r="B642" s="90" t="s">
        <v>706</v>
      </c>
      <c r="C642" s="90" t="s">
        <v>707</v>
      </c>
      <c r="D642" s="92">
        <v>10000</v>
      </c>
      <c r="E642" s="92">
        <v>13000</v>
      </c>
      <c r="F642" s="93">
        <v>11601.28</v>
      </c>
      <c r="G642" s="97">
        <v>89.2</v>
      </c>
      <c r="H642" s="90" t="s">
        <v>13</v>
      </c>
      <c r="L642" s="92">
        <v>3000</v>
      </c>
    </row>
    <row r="643" spans="1:12" x14ac:dyDescent="0.25">
      <c r="A643" s="90" t="s">
        <v>79</v>
      </c>
      <c r="B643" s="90" t="s">
        <v>624</v>
      </c>
      <c r="C643" s="90" t="s">
        <v>625</v>
      </c>
      <c r="D643" s="92">
        <v>25000</v>
      </c>
      <c r="E643" s="92">
        <v>115100</v>
      </c>
      <c r="F643" s="93">
        <v>110082.68</v>
      </c>
      <c r="G643" s="97">
        <v>95.6</v>
      </c>
      <c r="H643" s="90" t="s">
        <v>13</v>
      </c>
      <c r="L643" s="92">
        <v>90100</v>
      </c>
    </row>
    <row r="644" spans="1:12" x14ac:dyDescent="0.25">
      <c r="A644" s="90" t="s">
        <v>79</v>
      </c>
      <c r="B644" s="90" t="s">
        <v>764</v>
      </c>
      <c r="C644" s="90" t="s">
        <v>765</v>
      </c>
      <c r="D644" s="92">
        <v>0</v>
      </c>
      <c r="E644" s="92">
        <v>741764</v>
      </c>
      <c r="F644" s="93">
        <v>488577.3</v>
      </c>
      <c r="G644" s="97">
        <v>65.900000000000006</v>
      </c>
      <c r="H644" s="90" t="s">
        <v>13</v>
      </c>
      <c r="L644" s="92">
        <v>741764</v>
      </c>
    </row>
    <row r="645" spans="1:12" x14ac:dyDescent="0.25">
      <c r="C645" s="91" t="s">
        <v>790</v>
      </c>
      <c r="D645" s="98">
        <f>SUM(D624:D644)</f>
        <v>4205931</v>
      </c>
      <c r="E645" s="98">
        <f t="shared" ref="E645:F645" si="38">SUM(E624:E644)</f>
        <v>5221703</v>
      </c>
      <c r="F645" s="98">
        <f t="shared" si="38"/>
        <v>4387634.09</v>
      </c>
      <c r="J645" s="24" t="s">
        <v>152</v>
      </c>
    </row>
    <row r="646" spans="1:12" x14ac:dyDescent="0.25">
      <c r="A646" s="90" t="s">
        <v>81</v>
      </c>
      <c r="B646" s="90" t="s">
        <v>592</v>
      </c>
      <c r="C646" s="90" t="s">
        <v>593</v>
      </c>
      <c r="D646" s="92">
        <v>1421472</v>
      </c>
      <c r="E646" s="92">
        <v>1288779</v>
      </c>
      <c r="F646" s="93">
        <v>1019809.93</v>
      </c>
      <c r="G646" s="97">
        <v>79.099999999999994</v>
      </c>
      <c r="H646" s="90" t="s">
        <v>13</v>
      </c>
      <c r="L646" s="92">
        <v>-132693</v>
      </c>
    </row>
    <row r="647" spans="1:12" x14ac:dyDescent="0.25">
      <c r="A647" s="90" t="s">
        <v>81</v>
      </c>
      <c r="B647" s="90" t="s">
        <v>594</v>
      </c>
      <c r="C647" s="90" t="s">
        <v>595</v>
      </c>
      <c r="D647" s="92">
        <v>0</v>
      </c>
      <c r="E647" s="92">
        <v>2732</v>
      </c>
      <c r="F647" s="93">
        <v>2700.56</v>
      </c>
      <c r="G647" s="97">
        <v>98.8</v>
      </c>
      <c r="H647" s="90" t="s">
        <v>13</v>
      </c>
      <c r="L647" s="92">
        <v>2732</v>
      </c>
    </row>
    <row r="648" spans="1:12" x14ac:dyDescent="0.25">
      <c r="A648" s="90" t="s">
        <v>81</v>
      </c>
      <c r="B648" s="90" t="s">
        <v>596</v>
      </c>
      <c r="C648" s="90" t="s">
        <v>597</v>
      </c>
      <c r="D648" s="92">
        <v>88132</v>
      </c>
      <c r="E648" s="92">
        <v>79906</v>
      </c>
      <c r="F648" s="93">
        <v>61925.27</v>
      </c>
      <c r="G648" s="97">
        <v>77.5</v>
      </c>
      <c r="H648" s="90" t="s">
        <v>13</v>
      </c>
      <c r="L648" s="92">
        <v>-8226</v>
      </c>
    </row>
    <row r="649" spans="1:12" x14ac:dyDescent="0.25">
      <c r="A649" s="90" t="s">
        <v>81</v>
      </c>
      <c r="B649" s="90" t="s">
        <v>598</v>
      </c>
      <c r="C649" s="90" t="s">
        <v>599</v>
      </c>
      <c r="D649" s="92">
        <v>20612</v>
      </c>
      <c r="E649" s="92">
        <v>18688</v>
      </c>
      <c r="F649" s="93">
        <v>14482.52</v>
      </c>
      <c r="G649" s="97">
        <v>77.5</v>
      </c>
      <c r="H649" s="90" t="s">
        <v>13</v>
      </c>
      <c r="L649" s="92">
        <v>-1924</v>
      </c>
    </row>
    <row r="650" spans="1:12" x14ac:dyDescent="0.25">
      <c r="A650" s="90" t="s">
        <v>81</v>
      </c>
      <c r="B650" s="90" t="s">
        <v>600</v>
      </c>
      <c r="C650" s="90" t="s">
        <v>601</v>
      </c>
      <c r="D650" s="92">
        <v>235396</v>
      </c>
      <c r="E650" s="92">
        <v>212094</v>
      </c>
      <c r="F650" s="93">
        <v>178801.95</v>
      </c>
      <c r="G650" s="97">
        <v>84.3</v>
      </c>
      <c r="H650" s="90" t="s">
        <v>13</v>
      </c>
      <c r="L650" s="92">
        <v>-23302</v>
      </c>
    </row>
    <row r="651" spans="1:12" x14ac:dyDescent="0.25">
      <c r="A651" s="90" t="s">
        <v>81</v>
      </c>
      <c r="B651" s="90" t="s">
        <v>606</v>
      </c>
      <c r="C651" s="90" t="s">
        <v>607</v>
      </c>
      <c r="D651" s="92">
        <v>1850</v>
      </c>
      <c r="E651" s="92">
        <v>150</v>
      </c>
      <c r="F651" s="93">
        <v>137.80000000000001</v>
      </c>
      <c r="G651" s="97">
        <v>91.9</v>
      </c>
      <c r="H651" s="90" t="s">
        <v>13</v>
      </c>
      <c r="L651" s="92">
        <v>-1700</v>
      </c>
    </row>
    <row r="652" spans="1:12" x14ac:dyDescent="0.25">
      <c r="A652" s="90" t="s">
        <v>81</v>
      </c>
      <c r="B652" s="90" t="s">
        <v>608</v>
      </c>
      <c r="C652" s="90" t="s">
        <v>609</v>
      </c>
      <c r="D652" s="92">
        <v>250</v>
      </c>
      <c r="E652" s="92">
        <v>250</v>
      </c>
      <c r="F652" s="93">
        <v>123.89</v>
      </c>
      <c r="G652" s="97">
        <v>49.6</v>
      </c>
      <c r="H652" s="90" t="s">
        <v>13</v>
      </c>
      <c r="L652" s="92">
        <v>0</v>
      </c>
    </row>
    <row r="653" spans="1:12" x14ac:dyDescent="0.25">
      <c r="A653" s="90" t="s">
        <v>81</v>
      </c>
      <c r="B653" s="90" t="s">
        <v>791</v>
      </c>
      <c r="C653" s="90" t="s">
        <v>792</v>
      </c>
      <c r="D653" s="92">
        <v>98500</v>
      </c>
      <c r="E653" s="92">
        <v>123600</v>
      </c>
      <c r="F653" s="93">
        <v>123522</v>
      </c>
      <c r="G653" s="97">
        <v>99.9</v>
      </c>
      <c r="H653" s="90" t="s">
        <v>13</v>
      </c>
      <c r="L653" s="92">
        <v>25100</v>
      </c>
    </row>
    <row r="654" spans="1:12" x14ac:dyDescent="0.25">
      <c r="A654" s="90" t="s">
        <v>81</v>
      </c>
      <c r="B654" s="90" t="s">
        <v>793</v>
      </c>
      <c r="C654" s="90" t="s">
        <v>794</v>
      </c>
      <c r="D654" s="92">
        <v>3200</v>
      </c>
      <c r="E654" s="92">
        <v>3200</v>
      </c>
      <c r="F654" s="93">
        <v>2862</v>
      </c>
      <c r="G654" s="97">
        <v>89.4</v>
      </c>
      <c r="H654" s="90" t="s">
        <v>13</v>
      </c>
      <c r="L654" s="92">
        <v>0</v>
      </c>
    </row>
    <row r="655" spans="1:12" x14ac:dyDescent="0.25">
      <c r="A655" s="90" t="s">
        <v>81</v>
      </c>
      <c r="B655" s="90" t="s">
        <v>795</v>
      </c>
      <c r="C655" s="90" t="s">
        <v>796</v>
      </c>
      <c r="D655" s="92">
        <v>46000</v>
      </c>
      <c r="E655" s="92">
        <v>46000</v>
      </c>
      <c r="F655" s="93">
        <v>0</v>
      </c>
      <c r="G655" s="97">
        <v>0</v>
      </c>
      <c r="H655" s="90" t="s">
        <v>13</v>
      </c>
      <c r="L655" s="92">
        <v>0</v>
      </c>
    </row>
    <row r="656" spans="1:12" x14ac:dyDescent="0.25">
      <c r="A656" s="90" t="s">
        <v>81</v>
      </c>
      <c r="B656" s="90" t="s">
        <v>750</v>
      </c>
      <c r="C656" s="90" t="s">
        <v>751</v>
      </c>
      <c r="D656" s="92">
        <v>2192931</v>
      </c>
      <c r="E656" s="92">
        <v>2161931</v>
      </c>
      <c r="F656" s="93">
        <v>2161034.85</v>
      </c>
      <c r="G656" s="97">
        <v>100</v>
      </c>
      <c r="H656" s="90" t="s">
        <v>13</v>
      </c>
      <c r="L656" s="92">
        <v>-31000</v>
      </c>
    </row>
    <row r="657" spans="1:12" x14ac:dyDescent="0.25">
      <c r="A657" s="90" t="s">
        <v>81</v>
      </c>
      <c r="B657" s="90" t="s">
        <v>752</v>
      </c>
      <c r="C657" s="90" t="s">
        <v>753</v>
      </c>
      <c r="D657" s="92">
        <v>261100</v>
      </c>
      <c r="E657" s="92">
        <v>233798</v>
      </c>
      <c r="F657" s="93">
        <v>227209.12</v>
      </c>
      <c r="G657" s="97">
        <v>97.2</v>
      </c>
      <c r="H657" s="90" t="s">
        <v>13</v>
      </c>
      <c r="L657" s="92">
        <v>-27302</v>
      </c>
    </row>
    <row r="658" spans="1:12" x14ac:dyDescent="0.25">
      <c r="A658" s="90" t="s">
        <v>81</v>
      </c>
      <c r="B658" s="90" t="s">
        <v>634</v>
      </c>
      <c r="C658" s="90" t="s">
        <v>635</v>
      </c>
      <c r="D658" s="92">
        <v>150178</v>
      </c>
      <c r="E658" s="92">
        <v>148158</v>
      </c>
      <c r="F658" s="93">
        <v>148133.42000000001</v>
      </c>
      <c r="G658" s="97">
        <v>100</v>
      </c>
      <c r="H658" s="90" t="s">
        <v>13</v>
      </c>
      <c r="L658" s="92">
        <v>-2020</v>
      </c>
    </row>
    <row r="659" spans="1:12" x14ac:dyDescent="0.25">
      <c r="A659" s="90" t="s">
        <v>81</v>
      </c>
      <c r="B659" s="90" t="s">
        <v>636</v>
      </c>
      <c r="C659" s="90" t="s">
        <v>637</v>
      </c>
      <c r="D659" s="92">
        <v>242000</v>
      </c>
      <c r="E659" s="92">
        <v>307500</v>
      </c>
      <c r="F659" s="93">
        <v>303208.90999999997</v>
      </c>
      <c r="G659" s="97">
        <v>98.6</v>
      </c>
      <c r="H659" s="90" t="s">
        <v>13</v>
      </c>
      <c r="L659" s="92">
        <v>65500</v>
      </c>
    </row>
    <row r="660" spans="1:12" x14ac:dyDescent="0.25">
      <c r="A660" s="90" t="s">
        <v>81</v>
      </c>
      <c r="B660" s="90" t="s">
        <v>661</v>
      </c>
      <c r="C660" s="90" t="s">
        <v>662</v>
      </c>
      <c r="D660" s="92">
        <v>1770300</v>
      </c>
      <c r="E660" s="92">
        <v>2044350</v>
      </c>
      <c r="F660" s="93">
        <v>1907785.34</v>
      </c>
      <c r="G660" s="97">
        <v>93.3</v>
      </c>
      <c r="H660" s="90" t="s">
        <v>13</v>
      </c>
      <c r="L660" s="92">
        <v>274050</v>
      </c>
    </row>
    <row r="661" spans="1:12" x14ac:dyDescent="0.25">
      <c r="A661" s="90" t="s">
        <v>81</v>
      </c>
      <c r="B661" s="90" t="s">
        <v>610</v>
      </c>
      <c r="C661" s="90" t="s">
        <v>611</v>
      </c>
      <c r="D661" s="92">
        <v>9500</v>
      </c>
      <c r="E661" s="92">
        <v>2844</v>
      </c>
      <c r="F661" s="93">
        <v>2674.31</v>
      </c>
      <c r="G661" s="97">
        <v>94</v>
      </c>
      <c r="H661" s="90" t="s">
        <v>13</v>
      </c>
      <c r="L661" s="92">
        <v>-6656</v>
      </c>
    </row>
    <row r="662" spans="1:12" x14ac:dyDescent="0.25">
      <c r="A662" s="90" t="s">
        <v>81</v>
      </c>
      <c r="B662" s="90" t="s">
        <v>612</v>
      </c>
      <c r="C662" s="90" t="s">
        <v>613</v>
      </c>
      <c r="D662" s="92">
        <v>471000</v>
      </c>
      <c r="E662" s="92">
        <v>449709</v>
      </c>
      <c r="F662" s="93">
        <v>289923.65000000002</v>
      </c>
      <c r="G662" s="97">
        <v>64.5</v>
      </c>
      <c r="H662" s="90" t="s">
        <v>13</v>
      </c>
      <c r="L662" s="92">
        <v>-21291</v>
      </c>
    </row>
    <row r="663" spans="1:12" x14ac:dyDescent="0.25">
      <c r="A663" s="90" t="s">
        <v>81</v>
      </c>
      <c r="B663" s="90" t="s">
        <v>682</v>
      </c>
      <c r="C663" s="90" t="s">
        <v>683</v>
      </c>
      <c r="D663" s="92">
        <v>35000</v>
      </c>
      <c r="E663" s="92">
        <v>45100</v>
      </c>
      <c r="F663" s="93">
        <v>45027</v>
      </c>
      <c r="G663" s="97">
        <v>99.8</v>
      </c>
      <c r="H663" s="90" t="s">
        <v>13</v>
      </c>
      <c r="L663" s="92">
        <v>10100</v>
      </c>
    </row>
    <row r="664" spans="1:12" x14ac:dyDescent="0.25">
      <c r="A664" s="90" t="s">
        <v>81</v>
      </c>
      <c r="B664" s="90" t="s">
        <v>631</v>
      </c>
      <c r="C664" s="90" t="s">
        <v>632</v>
      </c>
      <c r="D664" s="92">
        <v>250</v>
      </c>
      <c r="E664" s="92">
        <v>250</v>
      </c>
      <c r="F664" s="93">
        <v>19.95</v>
      </c>
      <c r="G664" s="97">
        <v>8</v>
      </c>
      <c r="H664" s="90" t="s">
        <v>13</v>
      </c>
      <c r="L664" s="92">
        <v>0</v>
      </c>
    </row>
    <row r="665" spans="1:12" x14ac:dyDescent="0.25">
      <c r="A665" s="90" t="s">
        <v>81</v>
      </c>
      <c r="B665" s="90" t="s">
        <v>616</v>
      </c>
      <c r="C665" s="90" t="s">
        <v>617</v>
      </c>
      <c r="D665" s="92">
        <v>1475</v>
      </c>
      <c r="E665" s="92">
        <v>148</v>
      </c>
      <c r="F665" s="93">
        <v>147.34</v>
      </c>
      <c r="G665" s="97">
        <v>99.6</v>
      </c>
      <c r="H665" s="90" t="s">
        <v>13</v>
      </c>
      <c r="I665" s="24" t="s">
        <v>152</v>
      </c>
      <c r="L665" s="92">
        <v>-1327</v>
      </c>
    </row>
    <row r="666" spans="1:12" x14ac:dyDescent="0.25">
      <c r="A666" s="90" t="s">
        <v>81</v>
      </c>
      <c r="B666" s="90" t="s">
        <v>618</v>
      </c>
      <c r="C666" s="90" t="s">
        <v>619</v>
      </c>
      <c r="D666" s="92">
        <v>7500</v>
      </c>
      <c r="E666" s="92">
        <v>423</v>
      </c>
      <c r="F666" s="93">
        <v>421.04</v>
      </c>
      <c r="G666" s="97">
        <v>99.5</v>
      </c>
      <c r="H666" s="90" t="s">
        <v>13</v>
      </c>
      <c r="L666" s="92">
        <v>-7077</v>
      </c>
    </row>
    <row r="667" spans="1:12" x14ac:dyDescent="0.25">
      <c r="A667" s="90" t="s">
        <v>81</v>
      </c>
      <c r="B667" s="90" t="s">
        <v>688</v>
      </c>
      <c r="C667" s="90" t="s">
        <v>797</v>
      </c>
      <c r="D667" s="92">
        <v>0</v>
      </c>
      <c r="E667" s="92">
        <v>0</v>
      </c>
      <c r="F667" s="93">
        <v>-9137.9599999999991</v>
      </c>
      <c r="G667" s="97">
        <v>100</v>
      </c>
      <c r="H667" s="90" t="s">
        <v>13</v>
      </c>
      <c r="L667" s="92">
        <v>0</v>
      </c>
    </row>
    <row r="668" spans="1:12" x14ac:dyDescent="0.25">
      <c r="A668" s="90" t="s">
        <v>81</v>
      </c>
      <c r="B668" s="90" t="s">
        <v>622</v>
      </c>
      <c r="C668" s="90" t="s">
        <v>623</v>
      </c>
      <c r="D668" s="92">
        <v>76120</v>
      </c>
      <c r="E668" s="92">
        <v>72369</v>
      </c>
      <c r="F668" s="93">
        <v>69146.97</v>
      </c>
      <c r="G668" s="97">
        <v>95.5</v>
      </c>
      <c r="H668" s="90" t="s">
        <v>13</v>
      </c>
      <c r="L668" s="92">
        <v>-3751</v>
      </c>
    </row>
    <row r="669" spans="1:12" x14ac:dyDescent="0.25">
      <c r="A669" s="90" t="s">
        <v>81</v>
      </c>
      <c r="B669" s="90" t="s">
        <v>663</v>
      </c>
      <c r="C669" s="90" t="s">
        <v>664</v>
      </c>
      <c r="D669" s="92">
        <v>20000</v>
      </c>
      <c r="E669" s="92">
        <v>13500</v>
      </c>
      <c r="F669" s="93">
        <v>11024.55</v>
      </c>
      <c r="G669" s="97">
        <v>81.7</v>
      </c>
      <c r="H669" s="90" t="s">
        <v>13</v>
      </c>
      <c r="L669" s="92">
        <v>-6500</v>
      </c>
    </row>
    <row r="670" spans="1:12" x14ac:dyDescent="0.25">
      <c r="A670" s="90" t="s">
        <v>81</v>
      </c>
      <c r="B670" s="90" t="s">
        <v>706</v>
      </c>
      <c r="C670" s="90" t="s">
        <v>707</v>
      </c>
      <c r="D670" s="92">
        <v>0</v>
      </c>
      <c r="E670" s="92">
        <v>2700</v>
      </c>
      <c r="F670" s="93">
        <v>2615.69</v>
      </c>
      <c r="G670" s="97">
        <v>96.9</v>
      </c>
      <c r="H670" s="90" t="s">
        <v>13</v>
      </c>
      <c r="L670" s="92">
        <v>2700</v>
      </c>
    </row>
    <row r="671" spans="1:12" x14ac:dyDescent="0.25">
      <c r="A671" s="90" t="s">
        <v>81</v>
      </c>
      <c r="B671" s="90" t="s">
        <v>624</v>
      </c>
      <c r="C671" s="90" t="s">
        <v>625</v>
      </c>
      <c r="D671" s="92">
        <v>20500</v>
      </c>
      <c r="E671" s="92">
        <v>22100</v>
      </c>
      <c r="F671" s="93">
        <v>22047.67</v>
      </c>
      <c r="G671" s="97">
        <v>99.8</v>
      </c>
      <c r="H671" s="90" t="s">
        <v>13</v>
      </c>
      <c r="L671" s="92">
        <v>1600</v>
      </c>
    </row>
    <row r="672" spans="1:12" x14ac:dyDescent="0.25">
      <c r="A672" s="90" t="s">
        <v>81</v>
      </c>
      <c r="B672" s="90" t="s">
        <v>764</v>
      </c>
      <c r="C672" s="90" t="s">
        <v>765</v>
      </c>
      <c r="D672" s="92">
        <v>0</v>
      </c>
      <c r="E672" s="92">
        <v>550</v>
      </c>
      <c r="F672" s="93">
        <v>544.41</v>
      </c>
      <c r="G672" s="97">
        <v>99</v>
      </c>
      <c r="H672" s="90" t="s">
        <v>13</v>
      </c>
      <c r="L672" s="92">
        <v>550</v>
      </c>
    </row>
    <row r="673" spans="1:12" x14ac:dyDescent="0.25">
      <c r="A673" s="90" t="s">
        <v>81</v>
      </c>
      <c r="B673" s="90" t="s">
        <v>646</v>
      </c>
      <c r="C673" s="90" t="s">
        <v>647</v>
      </c>
      <c r="D673" s="92">
        <v>0</v>
      </c>
      <c r="E673" s="92">
        <v>83698</v>
      </c>
      <c r="F673" s="93">
        <v>69910.289999999994</v>
      </c>
      <c r="G673" s="97">
        <v>83.5</v>
      </c>
      <c r="H673" s="90" t="s">
        <v>13</v>
      </c>
      <c r="L673" s="92">
        <v>83698</v>
      </c>
    </row>
    <row r="674" spans="1:12" x14ac:dyDescent="0.25">
      <c r="C674" s="91" t="s">
        <v>798</v>
      </c>
      <c r="D674" s="98">
        <f>SUM(D646:D673)</f>
        <v>7173266</v>
      </c>
      <c r="E674" s="98">
        <f t="shared" ref="E674:F674" si="39">SUM(E646:E673)</f>
        <v>7364527</v>
      </c>
      <c r="F674" s="98">
        <f t="shared" si="39"/>
        <v>6656102.4699999997</v>
      </c>
    </row>
    <row r="675" spans="1:12" x14ac:dyDescent="0.25">
      <c r="A675" s="90" t="s">
        <v>83</v>
      </c>
      <c r="B675" s="90" t="s">
        <v>592</v>
      </c>
      <c r="C675" s="90" t="s">
        <v>593</v>
      </c>
      <c r="D675" s="92">
        <v>613000</v>
      </c>
      <c r="E675" s="92">
        <v>272607</v>
      </c>
      <c r="F675" s="93">
        <v>272606.62</v>
      </c>
      <c r="G675" s="97">
        <v>100</v>
      </c>
      <c r="H675" s="90" t="s">
        <v>13</v>
      </c>
      <c r="L675" s="92">
        <v>-340393</v>
      </c>
    </row>
    <row r="676" spans="1:12" x14ac:dyDescent="0.25">
      <c r="A676" s="90" t="s">
        <v>83</v>
      </c>
      <c r="B676" s="90" t="s">
        <v>594</v>
      </c>
      <c r="C676" s="90" t="s">
        <v>595</v>
      </c>
      <c r="D676" s="92">
        <v>2500</v>
      </c>
      <c r="E676" s="92">
        <v>2500</v>
      </c>
      <c r="F676" s="93">
        <v>0</v>
      </c>
      <c r="G676" s="97">
        <v>0</v>
      </c>
      <c r="H676" s="90" t="s">
        <v>13</v>
      </c>
      <c r="L676" s="92">
        <v>0</v>
      </c>
    </row>
    <row r="677" spans="1:12" x14ac:dyDescent="0.25">
      <c r="A677" s="90" t="s">
        <v>83</v>
      </c>
      <c r="B677" s="90" t="s">
        <v>596</v>
      </c>
      <c r="C677" s="90" t="s">
        <v>597</v>
      </c>
      <c r="D677" s="92">
        <v>38165</v>
      </c>
      <c r="E677" s="92">
        <v>20857</v>
      </c>
      <c r="F677" s="93">
        <v>16851.349999999999</v>
      </c>
      <c r="G677" s="97">
        <v>80.8</v>
      </c>
      <c r="H677" s="90" t="s">
        <v>13</v>
      </c>
      <c r="L677" s="92">
        <v>-17308</v>
      </c>
    </row>
    <row r="678" spans="1:12" x14ac:dyDescent="0.25">
      <c r="A678" s="90" t="s">
        <v>83</v>
      </c>
      <c r="B678" s="90" t="s">
        <v>598</v>
      </c>
      <c r="C678" s="90" t="s">
        <v>599</v>
      </c>
      <c r="D678" s="92">
        <v>8926</v>
      </c>
      <c r="E678" s="92">
        <v>7217</v>
      </c>
      <c r="F678" s="93">
        <v>3941.05</v>
      </c>
      <c r="G678" s="97">
        <v>54.6</v>
      </c>
      <c r="H678" s="90" t="s">
        <v>13</v>
      </c>
      <c r="L678" s="92">
        <v>-1709</v>
      </c>
    </row>
    <row r="679" spans="1:12" x14ac:dyDescent="0.25">
      <c r="A679" s="90" t="s">
        <v>83</v>
      </c>
      <c r="B679" s="90" t="s">
        <v>600</v>
      </c>
      <c r="C679" s="90" t="s">
        <v>601</v>
      </c>
      <c r="D679" s="92">
        <v>101936</v>
      </c>
      <c r="E679" s="92">
        <v>51240</v>
      </c>
      <c r="F679" s="93">
        <v>48259.1</v>
      </c>
      <c r="G679" s="97">
        <v>94.2</v>
      </c>
      <c r="H679" s="90" t="s">
        <v>13</v>
      </c>
      <c r="L679" s="92">
        <v>-50696</v>
      </c>
    </row>
    <row r="680" spans="1:12" x14ac:dyDescent="0.25">
      <c r="A680" s="90" t="s">
        <v>83</v>
      </c>
      <c r="B680" s="90" t="s">
        <v>606</v>
      </c>
      <c r="C680" s="90" t="s">
        <v>607</v>
      </c>
      <c r="D680" s="92">
        <v>900</v>
      </c>
      <c r="E680" s="92">
        <v>400</v>
      </c>
      <c r="F680" s="93">
        <v>140.58000000000001</v>
      </c>
      <c r="G680" s="97">
        <v>35.1</v>
      </c>
      <c r="H680" s="90" t="s">
        <v>13</v>
      </c>
      <c r="L680" s="92">
        <v>-500</v>
      </c>
    </row>
    <row r="681" spans="1:12" x14ac:dyDescent="0.25">
      <c r="A681" s="90" t="s">
        <v>83</v>
      </c>
      <c r="B681" s="90" t="s">
        <v>608</v>
      </c>
      <c r="C681" s="90" t="s">
        <v>609</v>
      </c>
      <c r="D681" s="92">
        <v>430</v>
      </c>
      <c r="E681" s="92">
        <v>430</v>
      </c>
      <c r="F681" s="93">
        <v>307.39999999999998</v>
      </c>
      <c r="G681" s="97">
        <v>71.5</v>
      </c>
      <c r="H681" s="90" t="s">
        <v>13</v>
      </c>
      <c r="L681" s="92">
        <v>0</v>
      </c>
    </row>
    <row r="682" spans="1:12" x14ac:dyDescent="0.25">
      <c r="A682" s="90" t="s">
        <v>83</v>
      </c>
      <c r="B682" s="90" t="s">
        <v>610</v>
      </c>
      <c r="C682" s="90" t="s">
        <v>611</v>
      </c>
      <c r="D682" s="92">
        <v>6000</v>
      </c>
      <c r="E682" s="92">
        <v>4344</v>
      </c>
      <c r="F682" s="93">
        <v>2881.57</v>
      </c>
      <c r="G682" s="97">
        <v>66.3</v>
      </c>
      <c r="H682" s="90" t="s">
        <v>13</v>
      </c>
      <c r="L682" s="92">
        <v>-1656</v>
      </c>
    </row>
    <row r="683" spans="1:12" x14ac:dyDescent="0.25">
      <c r="A683" s="90" t="s">
        <v>83</v>
      </c>
      <c r="B683" s="90" t="s">
        <v>756</v>
      </c>
      <c r="C683" s="90" t="s">
        <v>757</v>
      </c>
      <c r="D683" s="92">
        <v>2400</v>
      </c>
      <c r="E683" s="92">
        <v>5400</v>
      </c>
      <c r="F683" s="93">
        <v>4800</v>
      </c>
      <c r="G683" s="97">
        <v>88.9</v>
      </c>
      <c r="H683" s="90" t="s">
        <v>13</v>
      </c>
      <c r="L683" s="92">
        <v>3000</v>
      </c>
    </row>
    <row r="684" spans="1:12" x14ac:dyDescent="0.25">
      <c r="A684" s="90" t="s">
        <v>83</v>
      </c>
      <c r="B684" s="90" t="s">
        <v>612</v>
      </c>
      <c r="C684" s="90" t="s">
        <v>613</v>
      </c>
      <c r="D684" s="92">
        <v>220000</v>
      </c>
      <c r="E684" s="92">
        <v>183734</v>
      </c>
      <c r="F684" s="93">
        <v>37059.93</v>
      </c>
      <c r="G684" s="97">
        <v>20.2</v>
      </c>
      <c r="H684" s="90" t="s">
        <v>13</v>
      </c>
      <c r="L684" s="92">
        <v>-36266</v>
      </c>
    </row>
    <row r="685" spans="1:12" x14ac:dyDescent="0.25">
      <c r="A685" s="90" t="s">
        <v>83</v>
      </c>
      <c r="B685" s="90" t="s">
        <v>616</v>
      </c>
      <c r="C685" s="90" t="s">
        <v>617</v>
      </c>
      <c r="D685" s="92">
        <v>4000</v>
      </c>
      <c r="E685" s="92">
        <v>3000</v>
      </c>
      <c r="F685" s="93">
        <v>2376.73</v>
      </c>
      <c r="G685" s="97">
        <v>79.2</v>
      </c>
      <c r="H685" s="90" t="s">
        <v>13</v>
      </c>
      <c r="L685" s="92">
        <v>-1000</v>
      </c>
    </row>
    <row r="686" spans="1:12" x14ac:dyDescent="0.25">
      <c r="A686" s="90" t="s">
        <v>83</v>
      </c>
      <c r="B686" s="90" t="s">
        <v>618</v>
      </c>
      <c r="C686" s="90" t="s">
        <v>619</v>
      </c>
      <c r="D686" s="92">
        <v>4000</v>
      </c>
      <c r="E686" s="92">
        <v>8550</v>
      </c>
      <c r="F686" s="93">
        <v>8521.17</v>
      </c>
      <c r="G686" s="97">
        <v>99.7</v>
      </c>
      <c r="H686" s="90" t="s">
        <v>13</v>
      </c>
      <c r="L686" s="92">
        <v>4550</v>
      </c>
    </row>
    <row r="687" spans="1:12" x14ac:dyDescent="0.25">
      <c r="A687" s="90" t="s">
        <v>83</v>
      </c>
      <c r="B687" s="90" t="s">
        <v>642</v>
      </c>
      <c r="C687" s="90" t="s">
        <v>643</v>
      </c>
      <c r="D687" s="92">
        <v>0</v>
      </c>
      <c r="E687" s="92">
        <v>335</v>
      </c>
      <c r="F687" s="93">
        <v>332.57</v>
      </c>
      <c r="G687" s="97">
        <v>99.3</v>
      </c>
      <c r="H687" s="90" t="s">
        <v>13</v>
      </c>
      <c r="L687" s="92">
        <v>335</v>
      </c>
    </row>
    <row r="688" spans="1:12" x14ac:dyDescent="0.25">
      <c r="A688" s="90" t="s">
        <v>83</v>
      </c>
      <c r="B688" s="90" t="s">
        <v>622</v>
      </c>
      <c r="C688" s="90" t="s">
        <v>623</v>
      </c>
      <c r="D688" s="92">
        <v>12000</v>
      </c>
      <c r="E688" s="92">
        <v>5400</v>
      </c>
      <c r="F688" s="93">
        <v>5569.12</v>
      </c>
      <c r="G688" s="97">
        <v>103.1</v>
      </c>
      <c r="H688" s="90" t="s">
        <v>158</v>
      </c>
      <c r="L688" s="92">
        <v>-6600</v>
      </c>
    </row>
    <row r="689" spans="1:12" x14ac:dyDescent="0.25">
      <c r="A689" s="90" t="s">
        <v>83</v>
      </c>
      <c r="B689" s="90" t="s">
        <v>663</v>
      </c>
      <c r="C689" s="90" t="s">
        <v>664</v>
      </c>
      <c r="D689" s="92">
        <v>2500</v>
      </c>
      <c r="E689" s="92">
        <v>1050</v>
      </c>
      <c r="F689" s="93">
        <v>1044.1500000000001</v>
      </c>
      <c r="G689" s="97">
        <v>99.4</v>
      </c>
      <c r="H689" s="90" t="s">
        <v>13</v>
      </c>
      <c r="L689" s="92">
        <v>-1450</v>
      </c>
    </row>
    <row r="690" spans="1:12" x14ac:dyDescent="0.25">
      <c r="A690" s="90" t="s">
        <v>83</v>
      </c>
      <c r="B690" s="90" t="s">
        <v>624</v>
      </c>
      <c r="C690" s="90" t="s">
        <v>625</v>
      </c>
      <c r="D690" s="92">
        <v>6500</v>
      </c>
      <c r="E690" s="92">
        <v>1500</v>
      </c>
      <c r="F690" s="93">
        <v>113.41</v>
      </c>
      <c r="G690" s="97">
        <v>7.6</v>
      </c>
      <c r="H690" s="90" t="s">
        <v>13</v>
      </c>
      <c r="L690" s="92">
        <v>-5000</v>
      </c>
    </row>
    <row r="691" spans="1:12" x14ac:dyDescent="0.25">
      <c r="A691" s="90" t="s">
        <v>83</v>
      </c>
      <c r="B691" s="90" t="s">
        <v>764</v>
      </c>
      <c r="C691" s="90" t="s">
        <v>765</v>
      </c>
      <c r="D691" s="92">
        <v>0</v>
      </c>
      <c r="E691" s="92">
        <v>130395</v>
      </c>
      <c r="F691" s="93">
        <v>130392.29</v>
      </c>
      <c r="G691" s="97">
        <v>100</v>
      </c>
      <c r="H691" s="90" t="s">
        <v>13</v>
      </c>
      <c r="L691" s="92">
        <v>130395</v>
      </c>
    </row>
    <row r="692" spans="1:12" x14ac:dyDescent="0.25">
      <c r="C692" s="91" t="s">
        <v>799</v>
      </c>
      <c r="D692" s="98">
        <f>SUM(D675:D691)</f>
        <v>1023257</v>
      </c>
      <c r="E692" s="98">
        <f t="shared" ref="E692:F692" si="40">SUM(E675:E691)</f>
        <v>698959</v>
      </c>
      <c r="F692" s="98">
        <f t="shared" si="40"/>
        <v>535197.03999999992</v>
      </c>
      <c r="L692" s="98">
        <f>SUM(L624:L691)</f>
        <v>882735</v>
      </c>
    </row>
    <row r="693" spans="1:12" x14ac:dyDescent="0.25">
      <c r="A693" s="90" t="s">
        <v>84</v>
      </c>
      <c r="B693" s="90" t="s">
        <v>592</v>
      </c>
      <c r="C693" s="90" t="s">
        <v>593</v>
      </c>
      <c r="D693" s="92">
        <v>771875</v>
      </c>
      <c r="E693" s="92">
        <v>771875</v>
      </c>
      <c r="F693" s="93">
        <v>604688.07999999996</v>
      </c>
      <c r="G693" s="97">
        <v>78.3</v>
      </c>
      <c r="H693" s="90" t="s">
        <v>13</v>
      </c>
      <c r="L693" s="92">
        <v>0</v>
      </c>
    </row>
    <row r="694" spans="1:12" x14ac:dyDescent="0.25">
      <c r="A694" s="90" t="s">
        <v>84</v>
      </c>
      <c r="B694" s="90" t="s">
        <v>594</v>
      </c>
      <c r="C694" s="90" t="s">
        <v>595</v>
      </c>
      <c r="D694" s="92">
        <v>0</v>
      </c>
      <c r="E694" s="92">
        <v>900</v>
      </c>
      <c r="F694" s="93">
        <v>887.8</v>
      </c>
      <c r="G694" s="97">
        <v>98.6</v>
      </c>
      <c r="H694" s="90" t="s">
        <v>13</v>
      </c>
      <c r="J694" s="24" t="s">
        <v>152</v>
      </c>
      <c r="L694" s="92">
        <v>900</v>
      </c>
    </row>
    <row r="695" spans="1:12" x14ac:dyDescent="0.25">
      <c r="A695" s="90" t="s">
        <v>84</v>
      </c>
      <c r="B695" s="90" t="s">
        <v>596</v>
      </c>
      <c r="C695" s="90" t="s">
        <v>597</v>
      </c>
      <c r="D695" s="92">
        <v>47856</v>
      </c>
      <c r="E695" s="92">
        <v>47856</v>
      </c>
      <c r="F695" s="93">
        <v>36493.03</v>
      </c>
      <c r="G695" s="97">
        <v>76.3</v>
      </c>
      <c r="H695" s="90" t="s">
        <v>13</v>
      </c>
      <c r="L695" s="92">
        <v>0</v>
      </c>
    </row>
    <row r="696" spans="1:12" x14ac:dyDescent="0.25">
      <c r="A696" s="90" t="s">
        <v>84</v>
      </c>
      <c r="B696" s="90" t="s">
        <v>598</v>
      </c>
      <c r="C696" s="90" t="s">
        <v>599</v>
      </c>
      <c r="D696" s="92">
        <v>11192</v>
      </c>
      <c r="E696" s="92">
        <v>11192</v>
      </c>
      <c r="F696" s="93">
        <v>8534.61</v>
      </c>
      <c r="G696" s="97">
        <v>76.3</v>
      </c>
      <c r="H696" s="90" t="s">
        <v>13</v>
      </c>
      <c r="L696" s="92">
        <v>0</v>
      </c>
    </row>
    <row r="697" spans="1:12" x14ac:dyDescent="0.25">
      <c r="A697" s="90" t="s">
        <v>84</v>
      </c>
      <c r="B697" s="90" t="s">
        <v>600</v>
      </c>
      <c r="C697" s="90" t="s">
        <v>601</v>
      </c>
      <c r="D697" s="92">
        <v>127822</v>
      </c>
      <c r="E697" s="92">
        <v>127822</v>
      </c>
      <c r="F697" s="93">
        <v>105045.95</v>
      </c>
      <c r="G697" s="97">
        <v>82.2</v>
      </c>
      <c r="H697" s="90" t="s">
        <v>13</v>
      </c>
      <c r="L697" s="92">
        <v>0</v>
      </c>
    </row>
    <row r="698" spans="1:12" x14ac:dyDescent="0.25">
      <c r="A698" s="90" t="s">
        <v>84</v>
      </c>
      <c r="B698" s="90" t="s">
        <v>604</v>
      </c>
      <c r="C698" s="90" t="s">
        <v>605</v>
      </c>
      <c r="D698" s="92">
        <v>75</v>
      </c>
      <c r="E698" s="92">
        <v>0</v>
      </c>
      <c r="F698" s="93">
        <v>0</v>
      </c>
      <c r="G698" s="97">
        <v>0</v>
      </c>
      <c r="H698" s="90" t="s">
        <v>13</v>
      </c>
      <c r="L698" s="92">
        <v>-75</v>
      </c>
    </row>
    <row r="699" spans="1:12" x14ac:dyDescent="0.25">
      <c r="A699" s="90" t="s">
        <v>84</v>
      </c>
      <c r="B699" s="90" t="s">
        <v>606</v>
      </c>
      <c r="C699" s="90" t="s">
        <v>607</v>
      </c>
      <c r="D699" s="92">
        <v>200</v>
      </c>
      <c r="E699" s="92">
        <v>73</v>
      </c>
      <c r="F699" s="93">
        <v>72.069999999999993</v>
      </c>
      <c r="G699" s="97">
        <v>98.7</v>
      </c>
      <c r="H699" s="90" t="s">
        <v>13</v>
      </c>
      <c r="L699" s="92">
        <v>-127</v>
      </c>
    </row>
    <row r="700" spans="1:12" x14ac:dyDescent="0.25">
      <c r="A700" s="90" t="s">
        <v>84</v>
      </c>
      <c r="B700" s="90" t="s">
        <v>608</v>
      </c>
      <c r="C700" s="90" t="s">
        <v>609</v>
      </c>
      <c r="D700" s="92">
        <v>500</v>
      </c>
      <c r="E700" s="92">
        <v>473</v>
      </c>
      <c r="F700" s="93">
        <v>472.43</v>
      </c>
      <c r="G700" s="97">
        <v>99.9</v>
      </c>
      <c r="H700" s="90" t="s">
        <v>13</v>
      </c>
      <c r="L700" s="92">
        <v>-27</v>
      </c>
    </row>
    <row r="701" spans="1:12" x14ac:dyDescent="0.25">
      <c r="A701" s="90" t="s">
        <v>84</v>
      </c>
      <c r="B701" s="90" t="s">
        <v>674</v>
      </c>
      <c r="C701" s="90" t="s">
        <v>675</v>
      </c>
      <c r="D701" s="92">
        <v>475</v>
      </c>
      <c r="E701" s="92">
        <v>100</v>
      </c>
      <c r="F701" s="93">
        <v>100</v>
      </c>
      <c r="G701" s="97">
        <v>100</v>
      </c>
      <c r="H701" s="90" t="s">
        <v>13</v>
      </c>
      <c r="L701" s="92">
        <v>-375</v>
      </c>
    </row>
    <row r="702" spans="1:12" x14ac:dyDescent="0.25">
      <c r="A702" s="90" t="s">
        <v>84</v>
      </c>
      <c r="B702" s="90" t="s">
        <v>634</v>
      </c>
      <c r="C702" s="90" t="s">
        <v>635</v>
      </c>
      <c r="D702" s="92">
        <v>38360</v>
      </c>
      <c r="E702" s="92">
        <v>15380</v>
      </c>
      <c r="F702" s="93">
        <v>15380</v>
      </c>
      <c r="G702" s="97">
        <v>100</v>
      </c>
      <c r="H702" s="90" t="s">
        <v>13</v>
      </c>
      <c r="L702" s="92">
        <v>-22980</v>
      </c>
    </row>
    <row r="703" spans="1:12" x14ac:dyDescent="0.25">
      <c r="A703" s="90" t="s">
        <v>84</v>
      </c>
      <c r="B703" s="90" t="s">
        <v>636</v>
      </c>
      <c r="C703" s="90" t="s">
        <v>637</v>
      </c>
      <c r="D703" s="92">
        <v>100800</v>
      </c>
      <c r="E703" s="92">
        <v>52498</v>
      </c>
      <c r="F703" s="93">
        <v>52497.2</v>
      </c>
      <c r="G703" s="97">
        <v>100</v>
      </c>
      <c r="H703" s="90" t="s">
        <v>13</v>
      </c>
      <c r="L703" s="92">
        <v>-48302</v>
      </c>
    </row>
    <row r="704" spans="1:12" x14ac:dyDescent="0.25">
      <c r="A704" s="90" t="s">
        <v>84</v>
      </c>
      <c r="B704" s="90" t="s">
        <v>610</v>
      </c>
      <c r="C704" s="90" t="s">
        <v>611</v>
      </c>
      <c r="D704" s="92">
        <v>13800</v>
      </c>
      <c r="E704" s="92">
        <v>14011</v>
      </c>
      <c r="F704" s="93">
        <v>14010.38</v>
      </c>
      <c r="G704" s="97">
        <v>100</v>
      </c>
      <c r="H704" s="90" t="s">
        <v>13</v>
      </c>
      <c r="L704" s="92">
        <v>211</v>
      </c>
    </row>
    <row r="705" spans="1:12" x14ac:dyDescent="0.25">
      <c r="A705" s="90" t="s">
        <v>84</v>
      </c>
      <c r="B705" s="90" t="s">
        <v>756</v>
      </c>
      <c r="C705" s="90" t="s">
        <v>757</v>
      </c>
      <c r="D705" s="92">
        <v>500</v>
      </c>
      <c r="E705" s="92">
        <v>0</v>
      </c>
      <c r="F705" s="93">
        <v>0</v>
      </c>
      <c r="G705" s="97">
        <v>0</v>
      </c>
      <c r="H705" s="90" t="s">
        <v>13</v>
      </c>
      <c r="L705" s="92">
        <v>-500</v>
      </c>
    </row>
    <row r="706" spans="1:12" x14ac:dyDescent="0.25">
      <c r="A706" s="90" t="s">
        <v>84</v>
      </c>
      <c r="B706" s="90" t="s">
        <v>612</v>
      </c>
      <c r="C706" s="90" t="s">
        <v>613</v>
      </c>
      <c r="D706" s="92">
        <v>7600</v>
      </c>
      <c r="E706" s="92">
        <v>2604</v>
      </c>
      <c r="F706" s="93">
        <v>2603.3000000000002</v>
      </c>
      <c r="G706" s="97">
        <v>100</v>
      </c>
      <c r="H706" s="90" t="s">
        <v>13</v>
      </c>
      <c r="L706" s="92">
        <v>-4996</v>
      </c>
    </row>
    <row r="707" spans="1:12" x14ac:dyDescent="0.25">
      <c r="A707" s="90" t="s">
        <v>84</v>
      </c>
      <c r="B707" s="90" t="s">
        <v>616</v>
      </c>
      <c r="C707" s="90" t="s">
        <v>617</v>
      </c>
      <c r="D707" s="92">
        <v>1400</v>
      </c>
      <c r="E707" s="92">
        <v>10684</v>
      </c>
      <c r="F707" s="93">
        <v>10683.79</v>
      </c>
      <c r="G707" s="97">
        <v>100</v>
      </c>
      <c r="H707" s="90" t="s">
        <v>13</v>
      </c>
      <c r="L707" s="92">
        <v>9284</v>
      </c>
    </row>
    <row r="708" spans="1:12" x14ac:dyDescent="0.25">
      <c r="A708" s="90" t="s">
        <v>84</v>
      </c>
      <c r="B708" s="90" t="s">
        <v>618</v>
      </c>
      <c r="C708" s="90" t="s">
        <v>619</v>
      </c>
      <c r="D708" s="92">
        <v>14000</v>
      </c>
      <c r="E708" s="92">
        <v>27438</v>
      </c>
      <c r="F708" s="93">
        <v>27437.09</v>
      </c>
      <c r="G708" s="97">
        <v>100</v>
      </c>
      <c r="H708" s="90" t="s">
        <v>13</v>
      </c>
      <c r="L708" s="92">
        <v>13438</v>
      </c>
    </row>
    <row r="709" spans="1:12" x14ac:dyDescent="0.25">
      <c r="A709" s="90" t="s">
        <v>84</v>
      </c>
      <c r="B709" s="90" t="s">
        <v>622</v>
      </c>
      <c r="C709" s="90" t="s">
        <v>623</v>
      </c>
      <c r="D709" s="92">
        <v>594400</v>
      </c>
      <c r="E709" s="92">
        <v>701671</v>
      </c>
      <c r="F709" s="93">
        <v>702864.21</v>
      </c>
      <c r="G709" s="97">
        <v>100.2</v>
      </c>
      <c r="H709" s="90" t="s">
        <v>158</v>
      </c>
      <c r="L709" s="92">
        <v>107271</v>
      </c>
    </row>
    <row r="710" spans="1:12" x14ac:dyDescent="0.25">
      <c r="A710" s="90" t="s">
        <v>84</v>
      </c>
      <c r="B710" s="90" t="s">
        <v>663</v>
      </c>
      <c r="C710" s="90" t="s">
        <v>664</v>
      </c>
      <c r="D710" s="92">
        <v>3500</v>
      </c>
      <c r="E710" s="92">
        <v>5007</v>
      </c>
      <c r="F710" s="93">
        <v>5006.5200000000004</v>
      </c>
      <c r="G710" s="97">
        <v>100</v>
      </c>
      <c r="H710" s="90" t="s">
        <v>13</v>
      </c>
      <c r="L710" s="92">
        <v>1507</v>
      </c>
    </row>
    <row r="711" spans="1:12" x14ac:dyDescent="0.25">
      <c r="A711" s="90" t="s">
        <v>84</v>
      </c>
      <c r="B711" s="90" t="s">
        <v>706</v>
      </c>
      <c r="C711" s="90" t="s">
        <v>707</v>
      </c>
      <c r="D711" s="92">
        <v>85000</v>
      </c>
      <c r="E711" s="92">
        <v>30371</v>
      </c>
      <c r="F711" s="93">
        <v>30370.69</v>
      </c>
      <c r="G711" s="97">
        <v>100</v>
      </c>
      <c r="H711" s="90" t="s">
        <v>13</v>
      </c>
      <c r="L711" s="92">
        <v>-54629</v>
      </c>
    </row>
    <row r="712" spans="1:12" x14ac:dyDescent="0.25">
      <c r="A712" s="90" t="s">
        <v>84</v>
      </c>
      <c r="B712" s="90" t="s">
        <v>624</v>
      </c>
      <c r="C712" s="90" t="s">
        <v>625</v>
      </c>
      <c r="D712" s="92">
        <v>800</v>
      </c>
      <c r="E712" s="92">
        <v>200</v>
      </c>
      <c r="F712" s="93">
        <v>139.85</v>
      </c>
      <c r="G712" s="97">
        <v>69.900000000000006</v>
      </c>
      <c r="H712" s="90" t="s">
        <v>13</v>
      </c>
      <c r="L712" s="92">
        <v>-600</v>
      </c>
    </row>
    <row r="713" spans="1:12" x14ac:dyDescent="0.25">
      <c r="A713" s="90" t="s">
        <v>800</v>
      </c>
      <c r="B713" s="90" t="s">
        <v>671</v>
      </c>
      <c r="C713" s="90" t="s">
        <v>672</v>
      </c>
      <c r="D713" s="92">
        <v>81000</v>
      </c>
      <c r="E713" s="92">
        <v>81000</v>
      </c>
      <c r="F713" s="93">
        <v>81000</v>
      </c>
      <c r="G713" s="97">
        <v>100</v>
      </c>
      <c r="H713" s="90" t="s">
        <v>13</v>
      </c>
      <c r="L713" s="92">
        <v>0</v>
      </c>
    </row>
    <row r="714" spans="1:12" x14ac:dyDescent="0.25">
      <c r="C714" s="91" t="s">
        <v>801</v>
      </c>
      <c r="D714" s="98">
        <f>SUM(D693:D713)</f>
        <v>1901155</v>
      </c>
      <c r="E714" s="98">
        <f t="shared" ref="E714:F714" si="41">SUM(E693:E713)</f>
        <v>1901155</v>
      </c>
      <c r="F714" s="98">
        <f t="shared" si="41"/>
        <v>1698287</v>
      </c>
      <c r="L714" s="98">
        <f>SUM(L693:L713)</f>
        <v>0</v>
      </c>
    </row>
    <row r="715" spans="1:12" x14ac:dyDescent="0.25">
      <c r="A715" s="90" t="s">
        <v>86</v>
      </c>
      <c r="B715" s="90" t="s">
        <v>592</v>
      </c>
      <c r="C715" s="90" t="s">
        <v>593</v>
      </c>
      <c r="D715" s="92">
        <v>206000</v>
      </c>
      <c r="E715" s="92">
        <v>206000</v>
      </c>
      <c r="F715" s="93">
        <v>156074.41</v>
      </c>
      <c r="G715" s="97">
        <v>75.8</v>
      </c>
      <c r="H715" s="90" t="s">
        <v>13</v>
      </c>
      <c r="L715" s="92">
        <v>0</v>
      </c>
    </row>
    <row r="716" spans="1:12" x14ac:dyDescent="0.25">
      <c r="A716" s="90" t="s">
        <v>86</v>
      </c>
      <c r="B716" s="90" t="s">
        <v>596</v>
      </c>
      <c r="C716" s="90" t="s">
        <v>597</v>
      </c>
      <c r="D716" s="92">
        <v>12738</v>
      </c>
      <c r="E716" s="92">
        <v>12738</v>
      </c>
      <c r="F716" s="93">
        <v>9634.7000000000007</v>
      </c>
      <c r="G716" s="97">
        <v>75.599999999999994</v>
      </c>
      <c r="H716" s="90" t="s">
        <v>13</v>
      </c>
      <c r="L716" s="92">
        <v>0</v>
      </c>
    </row>
    <row r="717" spans="1:12" x14ac:dyDescent="0.25">
      <c r="A717" s="90" t="s">
        <v>86</v>
      </c>
      <c r="B717" s="90" t="s">
        <v>598</v>
      </c>
      <c r="C717" s="90" t="s">
        <v>599</v>
      </c>
      <c r="D717" s="92">
        <v>3000</v>
      </c>
      <c r="E717" s="92">
        <v>3000</v>
      </c>
      <c r="F717" s="93">
        <v>2253.27</v>
      </c>
      <c r="G717" s="97">
        <v>75.099999999999994</v>
      </c>
      <c r="H717" s="90" t="s">
        <v>13</v>
      </c>
      <c r="L717" s="92">
        <v>0</v>
      </c>
    </row>
    <row r="718" spans="1:12" x14ac:dyDescent="0.25">
      <c r="A718" s="90" t="s">
        <v>86</v>
      </c>
      <c r="B718" s="90" t="s">
        <v>600</v>
      </c>
      <c r="C718" s="90" t="s">
        <v>601</v>
      </c>
      <c r="D718" s="92">
        <v>34100</v>
      </c>
      <c r="E718" s="92">
        <v>34100</v>
      </c>
      <c r="F718" s="93">
        <v>26118.55</v>
      </c>
      <c r="G718" s="97">
        <v>76.599999999999994</v>
      </c>
      <c r="H718" s="90" t="s">
        <v>13</v>
      </c>
      <c r="I718" s="24" t="s">
        <v>152</v>
      </c>
      <c r="L718" s="92">
        <v>0</v>
      </c>
    </row>
    <row r="719" spans="1:12" x14ac:dyDescent="0.25">
      <c r="A719" s="90" t="s">
        <v>86</v>
      </c>
      <c r="B719" s="90" t="s">
        <v>606</v>
      </c>
      <c r="C719" s="90" t="s">
        <v>607</v>
      </c>
      <c r="D719" s="92">
        <v>1485</v>
      </c>
      <c r="E719" s="92">
        <v>1485</v>
      </c>
      <c r="F719" s="93">
        <v>1252.9000000000001</v>
      </c>
      <c r="G719" s="97">
        <v>84.4</v>
      </c>
      <c r="H719" s="90" t="s">
        <v>13</v>
      </c>
      <c r="L719" s="92">
        <v>0</v>
      </c>
    </row>
    <row r="720" spans="1:12" x14ac:dyDescent="0.25">
      <c r="A720" s="90" t="s">
        <v>86</v>
      </c>
      <c r="B720" s="90" t="s">
        <v>608</v>
      </c>
      <c r="C720" s="90" t="s">
        <v>609</v>
      </c>
      <c r="D720" s="92">
        <v>1980</v>
      </c>
      <c r="E720" s="92">
        <v>1980</v>
      </c>
      <c r="F720" s="93">
        <v>874.81</v>
      </c>
      <c r="G720" s="97">
        <v>44.2</v>
      </c>
      <c r="H720" s="90" t="s">
        <v>13</v>
      </c>
      <c r="L720" s="92">
        <v>0</v>
      </c>
    </row>
    <row r="721" spans="1:12" x14ac:dyDescent="0.25">
      <c r="A721" s="90" t="s">
        <v>86</v>
      </c>
      <c r="B721" s="90" t="s">
        <v>610</v>
      </c>
      <c r="C721" s="90" t="s">
        <v>611</v>
      </c>
      <c r="D721" s="92">
        <v>1056</v>
      </c>
      <c r="E721" s="92">
        <v>1056</v>
      </c>
      <c r="F721" s="93">
        <v>607.55999999999995</v>
      </c>
      <c r="G721" s="97">
        <v>57.5</v>
      </c>
      <c r="H721" s="90" t="s">
        <v>13</v>
      </c>
      <c r="L721" s="92">
        <v>0</v>
      </c>
    </row>
    <row r="722" spans="1:12" x14ac:dyDescent="0.25">
      <c r="A722" s="90" t="s">
        <v>86</v>
      </c>
      <c r="B722" s="90" t="s">
        <v>616</v>
      </c>
      <c r="C722" s="90" t="s">
        <v>617</v>
      </c>
      <c r="D722" s="92">
        <v>600</v>
      </c>
      <c r="E722" s="92">
        <v>600</v>
      </c>
      <c r="F722" s="93">
        <v>300</v>
      </c>
      <c r="G722" s="97">
        <v>50</v>
      </c>
      <c r="H722" s="90" t="s">
        <v>13</v>
      </c>
      <c r="L722" s="92">
        <v>0</v>
      </c>
    </row>
    <row r="723" spans="1:12" x14ac:dyDescent="0.25">
      <c r="A723" s="90" t="s">
        <v>86</v>
      </c>
      <c r="B723" s="90" t="s">
        <v>618</v>
      </c>
      <c r="C723" s="90" t="s">
        <v>619</v>
      </c>
      <c r="D723" s="92">
        <v>8500</v>
      </c>
      <c r="E723" s="92">
        <v>8500</v>
      </c>
      <c r="F723" s="93">
        <v>2861.12</v>
      </c>
      <c r="G723" s="97">
        <v>33.700000000000003</v>
      </c>
      <c r="H723" s="90" t="s">
        <v>13</v>
      </c>
      <c r="J723" s="24" t="s">
        <v>152</v>
      </c>
      <c r="L723" s="92">
        <v>0</v>
      </c>
    </row>
    <row r="724" spans="1:12" x14ac:dyDescent="0.25">
      <c r="A724" s="90" t="s">
        <v>86</v>
      </c>
      <c r="B724" s="90" t="s">
        <v>622</v>
      </c>
      <c r="C724" s="90" t="s">
        <v>623</v>
      </c>
      <c r="D724" s="92">
        <v>4667</v>
      </c>
      <c r="E724" s="92">
        <v>4667</v>
      </c>
      <c r="F724" s="93">
        <v>1602.01</v>
      </c>
      <c r="G724" s="97">
        <v>34.299999999999997</v>
      </c>
      <c r="H724" s="90" t="s">
        <v>13</v>
      </c>
      <c r="L724" s="92">
        <v>0</v>
      </c>
    </row>
    <row r="725" spans="1:12" x14ac:dyDescent="0.25">
      <c r="A725" s="90" t="s">
        <v>86</v>
      </c>
      <c r="B725" s="90" t="s">
        <v>624</v>
      </c>
      <c r="C725" s="90" t="s">
        <v>625</v>
      </c>
      <c r="D725" s="92">
        <v>350</v>
      </c>
      <c r="E725" s="92">
        <v>350</v>
      </c>
      <c r="F725" s="93">
        <v>0</v>
      </c>
      <c r="G725" s="97">
        <v>0</v>
      </c>
      <c r="H725" s="90" t="s">
        <v>13</v>
      </c>
      <c r="L725" s="92">
        <v>0</v>
      </c>
    </row>
    <row r="726" spans="1:12" x14ac:dyDescent="0.25">
      <c r="C726" s="91" t="s">
        <v>802</v>
      </c>
      <c r="D726" s="98">
        <f>SUM(D715:D725)</f>
        <v>274476</v>
      </c>
      <c r="E726" s="98">
        <f t="shared" ref="E726:F726" si="42">SUM(E715:E725)</f>
        <v>274476</v>
      </c>
      <c r="F726" s="98">
        <f t="shared" si="42"/>
        <v>201579.33</v>
      </c>
    </row>
    <row r="727" spans="1:12" x14ac:dyDescent="0.25">
      <c r="A727" s="90" t="s">
        <v>88</v>
      </c>
      <c r="B727" s="90" t="s">
        <v>671</v>
      </c>
      <c r="C727" s="90" t="s">
        <v>672</v>
      </c>
      <c r="D727" s="92">
        <v>398000</v>
      </c>
      <c r="E727" s="92">
        <v>0</v>
      </c>
      <c r="F727" s="93">
        <v>0</v>
      </c>
      <c r="G727" s="97">
        <v>0</v>
      </c>
      <c r="H727" s="90" t="s">
        <v>13</v>
      </c>
      <c r="L727" s="92">
        <v>-398000</v>
      </c>
    </row>
    <row r="728" spans="1:12" x14ac:dyDescent="0.25">
      <c r="A728" s="90" t="s">
        <v>88</v>
      </c>
      <c r="B728" s="90" t="s">
        <v>803</v>
      </c>
      <c r="C728" s="90" t="s">
        <v>804</v>
      </c>
      <c r="D728" s="92">
        <v>0</v>
      </c>
      <c r="E728" s="92">
        <v>398000</v>
      </c>
      <c r="F728" s="93">
        <v>398000</v>
      </c>
      <c r="G728" s="97">
        <v>100</v>
      </c>
      <c r="H728" s="90" t="s">
        <v>13</v>
      </c>
      <c r="I728" s="24" t="s">
        <v>152</v>
      </c>
      <c r="L728" s="92">
        <v>398000</v>
      </c>
    </row>
    <row r="729" spans="1:12" x14ac:dyDescent="0.25">
      <c r="C729" s="91" t="s">
        <v>805</v>
      </c>
      <c r="D729" s="98">
        <f>SUM(D727:D728)</f>
        <v>398000</v>
      </c>
      <c r="E729" s="98">
        <f t="shared" ref="E729:F729" si="43">SUM(E727:E728)</f>
        <v>398000</v>
      </c>
      <c r="F729" s="98">
        <f t="shared" si="43"/>
        <v>398000</v>
      </c>
      <c r="L729" s="98">
        <f>SUM(L715:L728)</f>
        <v>0</v>
      </c>
    </row>
    <row r="730" spans="1:12" x14ac:dyDescent="0.25">
      <c r="A730" s="90" t="s">
        <v>90</v>
      </c>
      <c r="B730" s="90" t="s">
        <v>592</v>
      </c>
      <c r="C730" s="90" t="s">
        <v>593</v>
      </c>
      <c r="D730" s="92">
        <v>2143590</v>
      </c>
      <c r="E730" s="92">
        <v>2097590</v>
      </c>
      <c r="F730" s="93">
        <v>1799051.26</v>
      </c>
      <c r="G730" s="97">
        <v>85.8</v>
      </c>
      <c r="H730" s="90" t="s">
        <v>13</v>
      </c>
      <c r="L730" s="92">
        <v>-46000</v>
      </c>
    </row>
    <row r="731" spans="1:12" x14ac:dyDescent="0.25">
      <c r="A731" s="90" t="s">
        <v>90</v>
      </c>
      <c r="B731" s="90" t="s">
        <v>679</v>
      </c>
      <c r="C731" s="90" t="s">
        <v>680</v>
      </c>
      <c r="D731" s="92">
        <v>150000</v>
      </c>
      <c r="E731" s="92">
        <v>150000</v>
      </c>
      <c r="F731" s="93">
        <v>0</v>
      </c>
      <c r="G731" s="97">
        <v>0</v>
      </c>
      <c r="H731" s="90" t="s">
        <v>13</v>
      </c>
      <c r="L731" s="92">
        <v>0</v>
      </c>
    </row>
    <row r="732" spans="1:12" x14ac:dyDescent="0.25">
      <c r="A732" s="90" t="s">
        <v>90</v>
      </c>
      <c r="B732" s="90" t="s">
        <v>594</v>
      </c>
      <c r="C732" s="90" t="s">
        <v>595</v>
      </c>
      <c r="D732" s="92">
        <v>21000</v>
      </c>
      <c r="E732" s="92">
        <v>21000</v>
      </c>
      <c r="F732" s="93">
        <v>76093.88</v>
      </c>
      <c r="G732" s="97">
        <v>362.4</v>
      </c>
      <c r="H732" s="90" t="s">
        <v>158</v>
      </c>
      <c r="L732" s="92">
        <v>0</v>
      </c>
    </row>
    <row r="733" spans="1:12" x14ac:dyDescent="0.25">
      <c r="A733" s="90" t="s">
        <v>90</v>
      </c>
      <c r="B733" s="90" t="s">
        <v>596</v>
      </c>
      <c r="C733" s="90" t="s">
        <v>597</v>
      </c>
      <c r="D733" s="92">
        <v>143505</v>
      </c>
      <c r="E733" s="92">
        <v>143505</v>
      </c>
      <c r="F733" s="93">
        <v>113892.92</v>
      </c>
      <c r="G733" s="97">
        <v>79.400000000000006</v>
      </c>
      <c r="H733" s="90" t="s">
        <v>13</v>
      </c>
      <c r="L733" s="92">
        <v>0</v>
      </c>
    </row>
    <row r="734" spans="1:12" x14ac:dyDescent="0.25">
      <c r="A734" s="90" t="s">
        <v>90</v>
      </c>
      <c r="B734" s="90" t="s">
        <v>598</v>
      </c>
      <c r="C734" s="90" t="s">
        <v>599</v>
      </c>
      <c r="D734" s="92">
        <v>33562</v>
      </c>
      <c r="E734" s="92">
        <v>33562</v>
      </c>
      <c r="F734" s="93">
        <v>26636.1</v>
      </c>
      <c r="G734" s="97">
        <v>79.400000000000006</v>
      </c>
      <c r="H734" s="90" t="s">
        <v>13</v>
      </c>
      <c r="L734" s="92">
        <v>0</v>
      </c>
    </row>
    <row r="735" spans="1:12" x14ac:dyDescent="0.25">
      <c r="A735" s="90" t="s">
        <v>90</v>
      </c>
      <c r="B735" s="90" t="s">
        <v>600</v>
      </c>
      <c r="C735" s="90" t="s">
        <v>601</v>
      </c>
      <c r="D735" s="92">
        <v>383296</v>
      </c>
      <c r="E735" s="92">
        <v>383296</v>
      </c>
      <c r="F735" s="93">
        <v>306007.13</v>
      </c>
      <c r="G735" s="97">
        <v>79.8</v>
      </c>
      <c r="H735" s="90" t="s">
        <v>13</v>
      </c>
      <c r="L735" s="92">
        <v>0</v>
      </c>
    </row>
    <row r="736" spans="1:12" x14ac:dyDescent="0.25">
      <c r="A736" s="90" t="s">
        <v>90</v>
      </c>
      <c r="B736" s="90" t="s">
        <v>604</v>
      </c>
      <c r="C736" s="90" t="s">
        <v>605</v>
      </c>
      <c r="D736" s="92">
        <v>1500</v>
      </c>
      <c r="E736" s="92">
        <v>2500</v>
      </c>
      <c r="F736" s="93">
        <v>2376.2800000000002</v>
      </c>
      <c r="G736" s="97">
        <v>95.1</v>
      </c>
      <c r="H736" s="90" t="s">
        <v>13</v>
      </c>
      <c r="L736" s="92">
        <v>1000</v>
      </c>
    </row>
    <row r="737" spans="1:12" x14ac:dyDescent="0.25">
      <c r="A737" s="90" t="s">
        <v>90</v>
      </c>
      <c r="B737" s="90" t="s">
        <v>608</v>
      </c>
      <c r="C737" s="90" t="s">
        <v>609</v>
      </c>
      <c r="D737" s="92">
        <v>30</v>
      </c>
      <c r="E737" s="92">
        <v>30</v>
      </c>
      <c r="F737" s="93">
        <v>17.8</v>
      </c>
      <c r="G737" s="97">
        <v>59.3</v>
      </c>
      <c r="H737" s="90" t="s">
        <v>13</v>
      </c>
      <c r="L737" s="92">
        <v>0</v>
      </c>
    </row>
    <row r="738" spans="1:12" x14ac:dyDescent="0.25">
      <c r="A738" s="90" t="s">
        <v>90</v>
      </c>
      <c r="B738" s="90" t="s">
        <v>674</v>
      </c>
      <c r="C738" s="90" t="s">
        <v>675</v>
      </c>
      <c r="D738" s="92">
        <v>625</v>
      </c>
      <c r="E738" s="92">
        <v>625</v>
      </c>
      <c r="F738" s="93">
        <v>350</v>
      </c>
      <c r="G738" s="97">
        <v>56</v>
      </c>
      <c r="H738" s="90" t="s">
        <v>13</v>
      </c>
      <c r="L738" s="92">
        <v>0</v>
      </c>
    </row>
    <row r="739" spans="1:12" x14ac:dyDescent="0.25">
      <c r="A739" s="90" t="s">
        <v>90</v>
      </c>
      <c r="B739" s="90" t="s">
        <v>709</v>
      </c>
      <c r="C739" s="90" t="s">
        <v>710</v>
      </c>
      <c r="D739" s="92">
        <v>3000</v>
      </c>
      <c r="E739" s="92">
        <v>3000</v>
      </c>
      <c r="F739" s="93">
        <v>0</v>
      </c>
      <c r="G739" s="97">
        <v>0</v>
      </c>
      <c r="H739" s="90" t="s">
        <v>13</v>
      </c>
      <c r="L739" s="92">
        <v>0</v>
      </c>
    </row>
    <row r="740" spans="1:12" x14ac:dyDescent="0.25">
      <c r="A740" s="90" t="s">
        <v>90</v>
      </c>
      <c r="B740" s="90" t="s">
        <v>634</v>
      </c>
      <c r="C740" s="90" t="s">
        <v>635</v>
      </c>
      <c r="D740" s="92">
        <v>42810</v>
      </c>
      <c r="E740" s="92">
        <v>42810</v>
      </c>
      <c r="F740" s="93">
        <v>34604.07</v>
      </c>
      <c r="G740" s="97">
        <v>80.8</v>
      </c>
      <c r="H740" s="90" t="s">
        <v>13</v>
      </c>
      <c r="L740" s="92">
        <v>0</v>
      </c>
    </row>
    <row r="741" spans="1:12" x14ac:dyDescent="0.25">
      <c r="A741" s="90" t="s">
        <v>90</v>
      </c>
      <c r="B741" s="90" t="s">
        <v>636</v>
      </c>
      <c r="C741" s="90" t="s">
        <v>637</v>
      </c>
      <c r="D741" s="92">
        <v>29400</v>
      </c>
      <c r="E741" s="92">
        <v>29400</v>
      </c>
      <c r="F741" s="93">
        <v>11134.09</v>
      </c>
      <c r="G741" s="97">
        <v>37.9</v>
      </c>
      <c r="H741" s="90" t="s">
        <v>13</v>
      </c>
      <c r="L741" s="92">
        <v>0</v>
      </c>
    </row>
    <row r="742" spans="1:12" x14ac:dyDescent="0.25">
      <c r="A742" s="90" t="s">
        <v>90</v>
      </c>
      <c r="B742" s="90" t="s">
        <v>661</v>
      </c>
      <c r="C742" s="90" t="s">
        <v>662</v>
      </c>
      <c r="D742" s="92">
        <v>250000</v>
      </c>
      <c r="E742" s="92">
        <v>288830</v>
      </c>
      <c r="F742" s="93">
        <v>44990.61</v>
      </c>
      <c r="G742" s="97">
        <v>15.6</v>
      </c>
      <c r="H742" s="90" t="s">
        <v>13</v>
      </c>
      <c r="L742" s="92">
        <v>38830</v>
      </c>
    </row>
    <row r="743" spans="1:12" x14ac:dyDescent="0.25">
      <c r="A743" s="90" t="s">
        <v>90</v>
      </c>
      <c r="B743" s="90" t="s">
        <v>610</v>
      </c>
      <c r="C743" s="90" t="s">
        <v>611</v>
      </c>
      <c r="D743" s="92">
        <v>4910</v>
      </c>
      <c r="E743" s="92">
        <v>4910</v>
      </c>
      <c r="F743" s="93">
        <v>2484.4699999999998</v>
      </c>
      <c r="G743" s="97">
        <v>50.6</v>
      </c>
      <c r="H743" s="90" t="s">
        <v>13</v>
      </c>
      <c r="L743" s="92">
        <v>0</v>
      </c>
    </row>
    <row r="744" spans="1:12" x14ac:dyDescent="0.25">
      <c r="A744" s="90" t="s">
        <v>90</v>
      </c>
      <c r="B744" s="90" t="s">
        <v>756</v>
      </c>
      <c r="C744" s="90" t="s">
        <v>806</v>
      </c>
      <c r="D744" s="92">
        <v>18000</v>
      </c>
      <c r="E744" s="92">
        <v>18000</v>
      </c>
      <c r="F744" s="93">
        <v>18000</v>
      </c>
      <c r="G744" s="97">
        <v>100</v>
      </c>
      <c r="H744" s="90" t="s">
        <v>13</v>
      </c>
      <c r="L744" s="92">
        <v>0</v>
      </c>
    </row>
    <row r="745" spans="1:12" x14ac:dyDescent="0.25">
      <c r="A745" s="90" t="s">
        <v>90</v>
      </c>
      <c r="B745" s="90" t="s">
        <v>612</v>
      </c>
      <c r="C745" s="90" t="s">
        <v>613</v>
      </c>
      <c r="D745" s="92">
        <v>155000</v>
      </c>
      <c r="E745" s="92">
        <v>175000</v>
      </c>
      <c r="F745" s="93">
        <v>142660.69</v>
      </c>
      <c r="G745" s="97">
        <v>81.5</v>
      </c>
      <c r="H745" s="90" t="s">
        <v>13</v>
      </c>
      <c r="L745" s="92">
        <v>20000</v>
      </c>
    </row>
    <row r="746" spans="1:12" x14ac:dyDescent="0.25">
      <c r="A746" s="90" t="s">
        <v>90</v>
      </c>
      <c r="B746" s="90" t="s">
        <v>682</v>
      </c>
      <c r="C746" s="90" t="s">
        <v>683</v>
      </c>
      <c r="D746" s="92">
        <v>4500</v>
      </c>
      <c r="E746" s="92">
        <v>4500</v>
      </c>
      <c r="F746" s="93">
        <v>4330.3</v>
      </c>
      <c r="G746" s="97">
        <v>96.2</v>
      </c>
      <c r="H746" s="90" t="s">
        <v>13</v>
      </c>
      <c r="L746" s="92">
        <v>0</v>
      </c>
    </row>
    <row r="747" spans="1:12" x14ac:dyDescent="0.25">
      <c r="A747" s="90" t="s">
        <v>90</v>
      </c>
      <c r="B747" s="90" t="s">
        <v>696</v>
      </c>
      <c r="C747" s="90" t="s">
        <v>697</v>
      </c>
      <c r="D747" s="92">
        <v>0</v>
      </c>
      <c r="E747" s="92">
        <v>200</v>
      </c>
      <c r="F747" s="93">
        <v>133.5</v>
      </c>
      <c r="G747" s="97">
        <v>66.8</v>
      </c>
      <c r="H747" s="90" t="s">
        <v>13</v>
      </c>
      <c r="L747" s="92">
        <v>200</v>
      </c>
    </row>
    <row r="748" spans="1:12" x14ac:dyDescent="0.25">
      <c r="A748" s="90" t="s">
        <v>90</v>
      </c>
      <c r="B748" s="90" t="s">
        <v>631</v>
      </c>
      <c r="C748" s="90" t="s">
        <v>632</v>
      </c>
      <c r="D748" s="92">
        <v>1500</v>
      </c>
      <c r="E748" s="92">
        <v>0</v>
      </c>
      <c r="F748" s="93">
        <v>0</v>
      </c>
      <c r="G748" s="97">
        <v>0</v>
      </c>
      <c r="H748" s="90" t="s">
        <v>13</v>
      </c>
      <c r="L748" s="92">
        <v>-1500</v>
      </c>
    </row>
    <row r="749" spans="1:12" x14ac:dyDescent="0.25">
      <c r="A749" s="90" t="s">
        <v>90</v>
      </c>
      <c r="B749" s="90" t="s">
        <v>616</v>
      </c>
      <c r="C749" s="90" t="s">
        <v>617</v>
      </c>
      <c r="D749" s="92">
        <v>17000</v>
      </c>
      <c r="E749" s="92">
        <v>17000</v>
      </c>
      <c r="F749" s="93">
        <v>6265.92</v>
      </c>
      <c r="G749" s="97">
        <v>36.9</v>
      </c>
      <c r="H749" s="90" t="s">
        <v>13</v>
      </c>
      <c r="L749" s="92">
        <v>0</v>
      </c>
    </row>
    <row r="750" spans="1:12" x14ac:dyDescent="0.25">
      <c r="A750" s="90" t="s">
        <v>90</v>
      </c>
      <c r="B750" s="90" t="s">
        <v>618</v>
      </c>
      <c r="C750" s="90" t="s">
        <v>619</v>
      </c>
      <c r="D750" s="92">
        <v>0</v>
      </c>
      <c r="E750" s="92">
        <v>14500</v>
      </c>
      <c r="F750" s="93">
        <v>14487.09</v>
      </c>
      <c r="G750" s="97">
        <v>99.9</v>
      </c>
      <c r="H750" s="90" t="s">
        <v>13</v>
      </c>
      <c r="L750" s="92">
        <v>14500</v>
      </c>
    </row>
    <row r="751" spans="1:12" x14ac:dyDescent="0.25">
      <c r="A751" s="90" t="s">
        <v>90</v>
      </c>
      <c r="B751" s="90" t="s">
        <v>807</v>
      </c>
      <c r="C751" s="90" t="s">
        <v>808</v>
      </c>
      <c r="D751" s="92">
        <v>98400</v>
      </c>
      <c r="E751" s="92">
        <v>59900</v>
      </c>
      <c r="F751" s="93">
        <v>12587.65</v>
      </c>
      <c r="G751" s="97">
        <v>21</v>
      </c>
      <c r="H751" s="90" t="s">
        <v>13</v>
      </c>
      <c r="L751" s="92">
        <v>-38500</v>
      </c>
    </row>
    <row r="752" spans="1:12" x14ac:dyDescent="0.25">
      <c r="A752" s="90" t="s">
        <v>90</v>
      </c>
      <c r="B752" s="90" t="s">
        <v>809</v>
      </c>
      <c r="C752" s="90" t="s">
        <v>810</v>
      </c>
      <c r="D752" s="92">
        <v>11200</v>
      </c>
      <c r="E752" s="92">
        <v>11200</v>
      </c>
      <c r="F752" s="93">
        <v>8794.2900000000009</v>
      </c>
      <c r="G752" s="97">
        <v>78.5</v>
      </c>
      <c r="H752" s="90" t="s">
        <v>13</v>
      </c>
      <c r="L752" s="92">
        <v>0</v>
      </c>
    </row>
    <row r="753" spans="1:12" x14ac:dyDescent="0.25">
      <c r="A753" s="90" t="s">
        <v>90</v>
      </c>
      <c r="B753" s="90" t="s">
        <v>811</v>
      </c>
      <c r="C753" s="90" t="s">
        <v>812</v>
      </c>
      <c r="D753" s="92">
        <v>0</v>
      </c>
      <c r="E753" s="92">
        <v>65000</v>
      </c>
      <c r="F753" s="93">
        <v>63182.25</v>
      </c>
      <c r="G753" s="97">
        <v>97.2</v>
      </c>
      <c r="H753" s="90" t="s">
        <v>13</v>
      </c>
      <c r="L753" s="92">
        <v>65000</v>
      </c>
    </row>
    <row r="754" spans="1:12" x14ac:dyDescent="0.25">
      <c r="A754" s="90" t="s">
        <v>90</v>
      </c>
      <c r="B754" s="90" t="s">
        <v>642</v>
      </c>
      <c r="C754" s="90" t="s">
        <v>643</v>
      </c>
      <c r="D754" s="92">
        <v>0</v>
      </c>
      <c r="E754" s="92">
        <v>3220</v>
      </c>
      <c r="F754" s="93">
        <v>3216.63</v>
      </c>
      <c r="G754" s="97">
        <v>99.9</v>
      </c>
      <c r="H754" s="90" t="s">
        <v>13</v>
      </c>
      <c r="L754" s="92">
        <v>3220</v>
      </c>
    </row>
    <row r="755" spans="1:12" x14ac:dyDescent="0.25">
      <c r="A755" s="90" t="s">
        <v>90</v>
      </c>
      <c r="B755" s="90" t="s">
        <v>622</v>
      </c>
      <c r="C755" s="90" t="s">
        <v>623</v>
      </c>
      <c r="D755" s="92">
        <v>86500</v>
      </c>
      <c r="E755" s="92">
        <v>126500</v>
      </c>
      <c r="F755" s="93">
        <v>93654.59</v>
      </c>
      <c r="G755" s="97">
        <v>74</v>
      </c>
      <c r="H755" s="90" t="s">
        <v>13</v>
      </c>
      <c r="I755" s="24" t="s">
        <v>152</v>
      </c>
      <c r="L755" s="92">
        <v>40000</v>
      </c>
    </row>
    <row r="756" spans="1:12" x14ac:dyDescent="0.25">
      <c r="A756" s="90" t="s">
        <v>90</v>
      </c>
      <c r="B756" s="90" t="s">
        <v>663</v>
      </c>
      <c r="C756" s="90" t="s">
        <v>664</v>
      </c>
      <c r="D756" s="92">
        <v>62425</v>
      </c>
      <c r="E756" s="92">
        <v>75925</v>
      </c>
      <c r="F756" s="93">
        <v>73065.539999999994</v>
      </c>
      <c r="G756" s="97">
        <v>96.2</v>
      </c>
      <c r="H756" s="90" t="s">
        <v>13</v>
      </c>
      <c r="L756" s="92">
        <v>13500</v>
      </c>
    </row>
    <row r="757" spans="1:12" x14ac:dyDescent="0.25">
      <c r="A757" s="90" t="s">
        <v>90</v>
      </c>
      <c r="B757" s="90" t="s">
        <v>706</v>
      </c>
      <c r="C757" s="90" t="s">
        <v>707</v>
      </c>
      <c r="D757" s="92">
        <v>0</v>
      </c>
      <c r="E757" s="92">
        <v>400</v>
      </c>
      <c r="F757" s="93">
        <v>614.29</v>
      </c>
      <c r="G757" s="97">
        <v>153.6</v>
      </c>
      <c r="H757" s="90" t="s">
        <v>158</v>
      </c>
      <c r="L757" s="92">
        <v>400</v>
      </c>
    </row>
    <row r="758" spans="1:12" x14ac:dyDescent="0.25">
      <c r="A758" s="90" t="s">
        <v>90</v>
      </c>
      <c r="B758" s="90" t="s">
        <v>764</v>
      </c>
      <c r="C758" s="90" t="s">
        <v>765</v>
      </c>
      <c r="D758" s="92">
        <v>0</v>
      </c>
      <c r="E758" s="92">
        <v>107798</v>
      </c>
      <c r="F758" s="93">
        <v>75598.33</v>
      </c>
      <c r="G758" s="97">
        <v>70.099999999999994</v>
      </c>
      <c r="H758" s="90" t="s">
        <v>13</v>
      </c>
      <c r="L758" s="92">
        <v>107798</v>
      </c>
    </row>
    <row r="759" spans="1:12" x14ac:dyDescent="0.25">
      <c r="A759" s="90" t="s">
        <v>90</v>
      </c>
      <c r="B759" s="90" t="s">
        <v>768</v>
      </c>
      <c r="C759" s="90" t="s">
        <v>769</v>
      </c>
      <c r="D759" s="92">
        <v>600000</v>
      </c>
      <c r="E759" s="92">
        <v>775000</v>
      </c>
      <c r="F759" s="93">
        <v>26688.49</v>
      </c>
      <c r="G759" s="97">
        <v>3.4</v>
      </c>
      <c r="H759" s="90" t="s">
        <v>13</v>
      </c>
      <c r="L759" s="92">
        <v>175000</v>
      </c>
    </row>
    <row r="760" spans="1:12" x14ac:dyDescent="0.25">
      <c r="A760" s="90" t="s">
        <v>90</v>
      </c>
      <c r="B760" s="90" t="s">
        <v>648</v>
      </c>
      <c r="C760" s="90" t="s">
        <v>649</v>
      </c>
      <c r="D760" s="92">
        <v>3200</v>
      </c>
      <c r="E760" s="92">
        <v>5050</v>
      </c>
      <c r="F760" s="93">
        <v>5030.16</v>
      </c>
      <c r="G760" s="97">
        <v>99.6</v>
      </c>
      <c r="H760" s="90" t="s">
        <v>13</v>
      </c>
      <c r="L760" s="92">
        <v>1850</v>
      </c>
    </row>
    <row r="761" spans="1:12" x14ac:dyDescent="0.25">
      <c r="C761" s="91" t="s">
        <v>813</v>
      </c>
      <c r="D761" s="98">
        <f>SUM(D730:D760)</f>
        <v>4264953</v>
      </c>
      <c r="E761" s="98">
        <f t="shared" ref="E761:F761" si="44">SUM(E730:E760)</f>
        <v>4660251</v>
      </c>
      <c r="F761" s="98">
        <f t="shared" si="44"/>
        <v>2965948.3299999991</v>
      </c>
    </row>
    <row r="762" spans="1:12" x14ac:dyDescent="0.25">
      <c r="A762" s="90" t="s">
        <v>92</v>
      </c>
      <c r="B762" s="90" t="s">
        <v>592</v>
      </c>
      <c r="C762" s="90" t="s">
        <v>593</v>
      </c>
      <c r="D762" s="92">
        <v>1082601</v>
      </c>
      <c r="E762" s="92">
        <v>1082601</v>
      </c>
      <c r="F762" s="93">
        <v>862082.22</v>
      </c>
      <c r="G762" s="97">
        <v>79.599999999999994</v>
      </c>
      <c r="H762" s="90" t="s">
        <v>13</v>
      </c>
      <c r="L762" s="92">
        <v>0</v>
      </c>
    </row>
    <row r="763" spans="1:12" x14ac:dyDescent="0.25">
      <c r="A763" s="90" t="s">
        <v>92</v>
      </c>
      <c r="B763" s="90" t="s">
        <v>594</v>
      </c>
      <c r="C763" s="90" t="s">
        <v>595</v>
      </c>
      <c r="D763" s="92">
        <v>3000</v>
      </c>
      <c r="E763" s="92">
        <v>3000</v>
      </c>
      <c r="F763" s="93">
        <v>37552.75</v>
      </c>
      <c r="G763" s="97">
        <v>1251.8</v>
      </c>
      <c r="H763" s="90" t="s">
        <v>158</v>
      </c>
      <c r="L763" s="92">
        <v>0</v>
      </c>
    </row>
    <row r="764" spans="1:12" x14ac:dyDescent="0.25">
      <c r="A764" s="90" t="s">
        <v>92</v>
      </c>
      <c r="B764" s="90" t="s">
        <v>596</v>
      </c>
      <c r="C764" s="90" t="s">
        <v>597</v>
      </c>
      <c r="D764" s="92">
        <v>67307</v>
      </c>
      <c r="E764" s="92">
        <v>67307</v>
      </c>
      <c r="F764" s="93">
        <v>54456.55</v>
      </c>
      <c r="G764" s="97">
        <v>80.900000000000006</v>
      </c>
      <c r="H764" s="90" t="s">
        <v>13</v>
      </c>
      <c r="L764" s="92">
        <v>0</v>
      </c>
    </row>
    <row r="765" spans="1:12" x14ac:dyDescent="0.25">
      <c r="A765" s="90" t="s">
        <v>92</v>
      </c>
      <c r="B765" s="90" t="s">
        <v>598</v>
      </c>
      <c r="C765" s="90" t="s">
        <v>599</v>
      </c>
      <c r="D765" s="92">
        <v>15741</v>
      </c>
      <c r="E765" s="92">
        <v>15741</v>
      </c>
      <c r="F765" s="93">
        <v>12735.73</v>
      </c>
      <c r="G765" s="97">
        <v>80.900000000000006</v>
      </c>
      <c r="H765" s="90" t="s">
        <v>13</v>
      </c>
      <c r="L765" s="92">
        <v>0</v>
      </c>
    </row>
    <row r="766" spans="1:12" x14ac:dyDescent="0.25">
      <c r="A766" s="90" t="s">
        <v>92</v>
      </c>
      <c r="B766" s="90" t="s">
        <v>600</v>
      </c>
      <c r="C766" s="90" t="s">
        <v>601</v>
      </c>
      <c r="D766" s="92">
        <v>179775</v>
      </c>
      <c r="E766" s="92">
        <v>179775</v>
      </c>
      <c r="F766" s="93">
        <v>149891.59</v>
      </c>
      <c r="G766" s="97">
        <v>83.4</v>
      </c>
      <c r="H766" s="90" t="s">
        <v>13</v>
      </c>
      <c r="L766" s="92">
        <v>0</v>
      </c>
    </row>
    <row r="767" spans="1:12" x14ac:dyDescent="0.25">
      <c r="A767" s="90" t="s">
        <v>92</v>
      </c>
      <c r="B767" s="90" t="s">
        <v>604</v>
      </c>
      <c r="C767" s="90" t="s">
        <v>605</v>
      </c>
      <c r="D767" s="92">
        <v>500</v>
      </c>
      <c r="E767" s="92">
        <v>2500</v>
      </c>
      <c r="F767" s="93">
        <v>2374.0100000000002</v>
      </c>
      <c r="G767" s="97">
        <v>95</v>
      </c>
      <c r="H767" s="90" t="s">
        <v>13</v>
      </c>
      <c r="L767" s="92">
        <v>2000</v>
      </c>
    </row>
    <row r="768" spans="1:12" x14ac:dyDescent="0.25">
      <c r="A768" s="90" t="s">
        <v>92</v>
      </c>
      <c r="B768" s="90" t="s">
        <v>674</v>
      </c>
      <c r="C768" s="90" t="s">
        <v>675</v>
      </c>
      <c r="D768" s="92">
        <v>125</v>
      </c>
      <c r="E768" s="92">
        <v>125</v>
      </c>
      <c r="F768" s="93">
        <v>125</v>
      </c>
      <c r="G768" s="97">
        <v>100</v>
      </c>
      <c r="H768" s="90" t="s">
        <v>13</v>
      </c>
      <c r="L768" s="92">
        <v>0</v>
      </c>
    </row>
    <row r="769" spans="1:12" x14ac:dyDescent="0.25">
      <c r="A769" s="90" t="s">
        <v>92</v>
      </c>
      <c r="B769" s="90" t="s">
        <v>634</v>
      </c>
      <c r="C769" s="90" t="s">
        <v>635</v>
      </c>
      <c r="D769" s="92">
        <v>15304</v>
      </c>
      <c r="E769" s="92">
        <v>15304</v>
      </c>
      <c r="F769" s="93">
        <v>15297.96</v>
      </c>
      <c r="G769" s="97">
        <v>100</v>
      </c>
      <c r="H769" s="90" t="s">
        <v>13</v>
      </c>
      <c r="L769" s="92">
        <v>0</v>
      </c>
    </row>
    <row r="770" spans="1:12" x14ac:dyDescent="0.25">
      <c r="A770" s="90" t="s">
        <v>92</v>
      </c>
      <c r="B770" s="90" t="s">
        <v>636</v>
      </c>
      <c r="C770" s="90" t="s">
        <v>637</v>
      </c>
      <c r="D770" s="92">
        <v>30000</v>
      </c>
      <c r="E770" s="92">
        <v>30000</v>
      </c>
      <c r="F770" s="93">
        <v>11859.85</v>
      </c>
      <c r="G770" s="97">
        <v>39.5</v>
      </c>
      <c r="H770" s="90" t="s">
        <v>13</v>
      </c>
      <c r="L770" s="92">
        <v>0</v>
      </c>
    </row>
    <row r="771" spans="1:12" x14ac:dyDescent="0.25">
      <c r="A771" s="90" t="s">
        <v>92</v>
      </c>
      <c r="B771" s="90" t="s">
        <v>661</v>
      </c>
      <c r="C771" s="90" t="s">
        <v>662</v>
      </c>
      <c r="D771" s="92">
        <v>66000</v>
      </c>
      <c r="E771" s="92">
        <v>116000</v>
      </c>
      <c r="F771" s="93">
        <v>18893.669999999998</v>
      </c>
      <c r="G771" s="97">
        <v>16.3</v>
      </c>
      <c r="H771" s="90" t="s">
        <v>13</v>
      </c>
      <c r="I771" s="24" t="s">
        <v>152</v>
      </c>
      <c r="L771" s="92">
        <v>50000</v>
      </c>
    </row>
    <row r="772" spans="1:12" x14ac:dyDescent="0.25">
      <c r="A772" s="90" t="s">
        <v>92</v>
      </c>
      <c r="B772" s="90" t="s">
        <v>610</v>
      </c>
      <c r="C772" s="90" t="s">
        <v>611</v>
      </c>
      <c r="D772" s="92">
        <v>0</v>
      </c>
      <c r="E772" s="92">
        <v>100</v>
      </c>
      <c r="F772" s="93">
        <v>62.79</v>
      </c>
      <c r="G772" s="97">
        <v>62.8</v>
      </c>
      <c r="H772" s="90" t="s">
        <v>13</v>
      </c>
      <c r="L772" s="92">
        <v>100</v>
      </c>
    </row>
    <row r="773" spans="1:12" x14ac:dyDescent="0.25">
      <c r="A773" s="90" t="s">
        <v>92</v>
      </c>
      <c r="B773" s="90" t="s">
        <v>612</v>
      </c>
      <c r="C773" s="90" t="s">
        <v>613</v>
      </c>
      <c r="D773" s="92">
        <v>210070</v>
      </c>
      <c r="E773" s="92">
        <v>160070</v>
      </c>
      <c r="F773" s="93">
        <v>119141</v>
      </c>
      <c r="G773" s="97">
        <v>74.400000000000006</v>
      </c>
      <c r="H773" s="90" t="s">
        <v>13</v>
      </c>
      <c r="L773" s="92">
        <v>-50000</v>
      </c>
    </row>
    <row r="774" spans="1:12" x14ac:dyDescent="0.25">
      <c r="A774" s="90" t="s">
        <v>92</v>
      </c>
      <c r="B774" s="90" t="s">
        <v>682</v>
      </c>
      <c r="C774" s="90" t="s">
        <v>683</v>
      </c>
      <c r="D774" s="92">
        <v>2000</v>
      </c>
      <c r="E774" s="92">
        <v>2000</v>
      </c>
      <c r="F774" s="93">
        <v>768.47</v>
      </c>
      <c r="G774" s="97">
        <v>38.4</v>
      </c>
      <c r="H774" s="90" t="s">
        <v>13</v>
      </c>
      <c r="L774" s="92">
        <v>0</v>
      </c>
    </row>
    <row r="775" spans="1:12" x14ac:dyDescent="0.25">
      <c r="A775" s="90" t="s">
        <v>92</v>
      </c>
      <c r="B775" s="90" t="s">
        <v>616</v>
      </c>
      <c r="C775" s="90" t="s">
        <v>617</v>
      </c>
      <c r="D775" s="92">
        <v>660</v>
      </c>
      <c r="E775" s="92">
        <v>660</v>
      </c>
      <c r="F775" s="93">
        <v>536.74</v>
      </c>
      <c r="G775" s="97">
        <v>81.3</v>
      </c>
      <c r="H775" s="90" t="s">
        <v>13</v>
      </c>
      <c r="L775" s="92">
        <v>0</v>
      </c>
    </row>
    <row r="776" spans="1:12" x14ac:dyDescent="0.25">
      <c r="A776" s="90" t="s">
        <v>92</v>
      </c>
      <c r="B776" s="90" t="s">
        <v>618</v>
      </c>
      <c r="C776" s="90" t="s">
        <v>619</v>
      </c>
      <c r="D776" s="92">
        <v>4000</v>
      </c>
      <c r="E776" s="92">
        <v>4000</v>
      </c>
      <c r="F776" s="93">
        <v>668.44</v>
      </c>
      <c r="G776" s="97">
        <v>16.7</v>
      </c>
      <c r="H776" s="90" t="s">
        <v>13</v>
      </c>
      <c r="L776" s="92">
        <v>0</v>
      </c>
    </row>
    <row r="777" spans="1:12" x14ac:dyDescent="0.25">
      <c r="A777" s="90" t="s">
        <v>92</v>
      </c>
      <c r="B777" s="90" t="s">
        <v>807</v>
      </c>
      <c r="C777" s="90" t="s">
        <v>808</v>
      </c>
      <c r="D777" s="92">
        <v>50000</v>
      </c>
      <c r="E777" s="92">
        <v>50000</v>
      </c>
      <c r="F777" s="93">
        <v>26104.05</v>
      </c>
      <c r="G777" s="97">
        <v>52.2</v>
      </c>
      <c r="H777" s="90" t="s">
        <v>13</v>
      </c>
      <c r="L777" s="92">
        <v>0</v>
      </c>
    </row>
    <row r="778" spans="1:12" x14ac:dyDescent="0.25">
      <c r="A778" s="90" t="s">
        <v>92</v>
      </c>
      <c r="B778" s="90" t="s">
        <v>809</v>
      </c>
      <c r="C778" s="90" t="s">
        <v>810</v>
      </c>
      <c r="D778" s="92">
        <v>30000</v>
      </c>
      <c r="E778" s="92">
        <v>30000</v>
      </c>
      <c r="F778" s="93">
        <v>29462.46</v>
      </c>
      <c r="G778" s="97">
        <v>98.2</v>
      </c>
      <c r="H778" s="90" t="s">
        <v>13</v>
      </c>
      <c r="L778" s="92">
        <v>0</v>
      </c>
    </row>
    <row r="779" spans="1:12" x14ac:dyDescent="0.25">
      <c r="A779" s="90" t="s">
        <v>92</v>
      </c>
      <c r="B779" s="90" t="s">
        <v>811</v>
      </c>
      <c r="C779" s="90" t="s">
        <v>812</v>
      </c>
      <c r="D779" s="92">
        <v>0</v>
      </c>
      <c r="E779" s="92">
        <v>12000</v>
      </c>
      <c r="F779" s="93">
        <v>10006.44</v>
      </c>
      <c r="G779" s="97">
        <v>83.4</v>
      </c>
      <c r="H779" s="90" t="s">
        <v>13</v>
      </c>
      <c r="L779" s="92">
        <v>12000</v>
      </c>
    </row>
    <row r="780" spans="1:12" x14ac:dyDescent="0.25">
      <c r="A780" s="90" t="s">
        <v>92</v>
      </c>
      <c r="B780" s="90" t="s">
        <v>622</v>
      </c>
      <c r="C780" s="90" t="s">
        <v>623</v>
      </c>
      <c r="D780" s="92">
        <v>149300</v>
      </c>
      <c r="E780" s="92">
        <v>94900</v>
      </c>
      <c r="F780" s="93">
        <v>79789.27</v>
      </c>
      <c r="G780" s="97">
        <v>84.1</v>
      </c>
      <c r="H780" s="90" t="s">
        <v>13</v>
      </c>
      <c r="L780" s="92">
        <v>-54400</v>
      </c>
    </row>
    <row r="781" spans="1:12" x14ac:dyDescent="0.25">
      <c r="A781" s="90" t="s">
        <v>92</v>
      </c>
      <c r="B781" s="90" t="s">
        <v>663</v>
      </c>
      <c r="C781" s="90" t="s">
        <v>664</v>
      </c>
      <c r="D781" s="92">
        <v>110000</v>
      </c>
      <c r="E781" s="92">
        <v>165000</v>
      </c>
      <c r="F781" s="93">
        <v>154397.84</v>
      </c>
      <c r="G781" s="97">
        <v>93.6</v>
      </c>
      <c r="H781" s="90" t="s">
        <v>13</v>
      </c>
      <c r="L781" s="92">
        <v>55000</v>
      </c>
    </row>
    <row r="782" spans="1:12" x14ac:dyDescent="0.25">
      <c r="A782" s="90" t="s">
        <v>92</v>
      </c>
      <c r="B782" s="90" t="s">
        <v>706</v>
      </c>
      <c r="C782" s="90" t="s">
        <v>707</v>
      </c>
      <c r="D782" s="92">
        <v>0</v>
      </c>
      <c r="E782" s="92">
        <v>300</v>
      </c>
      <c r="F782" s="93">
        <v>234.53</v>
      </c>
      <c r="G782" s="97">
        <v>78.2</v>
      </c>
      <c r="H782" s="90" t="s">
        <v>13</v>
      </c>
      <c r="L782" s="92">
        <v>300</v>
      </c>
    </row>
    <row r="783" spans="1:12" x14ac:dyDescent="0.25">
      <c r="A783" s="90" t="s">
        <v>92</v>
      </c>
      <c r="B783" s="90" t="s">
        <v>624</v>
      </c>
      <c r="C783" s="90" t="s">
        <v>625</v>
      </c>
      <c r="D783" s="92">
        <v>6000</v>
      </c>
      <c r="E783" s="92">
        <v>6000</v>
      </c>
      <c r="F783" s="93">
        <v>5469.27</v>
      </c>
      <c r="G783" s="97">
        <v>91.2</v>
      </c>
      <c r="H783" s="90" t="s">
        <v>13</v>
      </c>
      <c r="L783" s="92">
        <v>0</v>
      </c>
    </row>
    <row r="784" spans="1:12" x14ac:dyDescent="0.25">
      <c r="A784" s="90" t="s">
        <v>92</v>
      </c>
      <c r="B784" s="90" t="s">
        <v>768</v>
      </c>
      <c r="C784" s="90" t="s">
        <v>769</v>
      </c>
      <c r="D784" s="92">
        <v>0</v>
      </c>
      <c r="E784" s="92">
        <v>85000</v>
      </c>
      <c r="F784" s="93">
        <v>0</v>
      </c>
      <c r="G784" s="97">
        <v>0</v>
      </c>
      <c r="H784" s="90" t="s">
        <v>13</v>
      </c>
      <c r="L784" s="92">
        <v>85000</v>
      </c>
    </row>
    <row r="785" spans="1:12" x14ac:dyDescent="0.25">
      <c r="C785" s="91" t="s">
        <v>814</v>
      </c>
      <c r="D785" s="98">
        <f>SUM(D762:D784)</f>
        <v>2022383</v>
      </c>
      <c r="E785" s="98">
        <f t="shared" ref="E785:F785" si="45">SUM(E762:E784)</f>
        <v>2122383</v>
      </c>
      <c r="F785" s="98">
        <f t="shared" si="45"/>
        <v>1591910.6300000001</v>
      </c>
      <c r="J785" s="99">
        <f>F785+F761+F809</f>
        <v>4585211.959999999</v>
      </c>
    </row>
    <row r="786" spans="1:12" x14ac:dyDescent="0.25">
      <c r="A786" s="90" t="s">
        <v>94</v>
      </c>
      <c r="B786" s="90" t="s">
        <v>592</v>
      </c>
      <c r="C786" s="90" t="s">
        <v>593</v>
      </c>
      <c r="D786" s="92">
        <v>3212411</v>
      </c>
      <c r="E786" s="92">
        <v>3212405</v>
      </c>
      <c r="F786" s="93">
        <v>3164855.9</v>
      </c>
      <c r="G786" s="97">
        <v>98.5</v>
      </c>
      <c r="H786" s="90" t="s">
        <v>13</v>
      </c>
      <c r="L786" s="92">
        <v>-6</v>
      </c>
    </row>
    <row r="787" spans="1:12" x14ac:dyDescent="0.25">
      <c r="A787" s="90" t="s">
        <v>94</v>
      </c>
      <c r="B787" s="90" t="s">
        <v>594</v>
      </c>
      <c r="C787" s="90" t="s">
        <v>595</v>
      </c>
      <c r="D787" s="92">
        <v>0</v>
      </c>
      <c r="E787" s="92">
        <v>6</v>
      </c>
      <c r="F787" s="93">
        <v>5.44</v>
      </c>
      <c r="G787" s="97">
        <v>90.7</v>
      </c>
      <c r="H787" s="90" t="s">
        <v>13</v>
      </c>
      <c r="L787" s="92">
        <v>6</v>
      </c>
    </row>
    <row r="788" spans="1:12" x14ac:dyDescent="0.25">
      <c r="A788" s="90" t="s">
        <v>94</v>
      </c>
      <c r="B788" s="90" t="s">
        <v>596</v>
      </c>
      <c r="C788" s="90" t="s">
        <v>597</v>
      </c>
      <c r="D788" s="92">
        <v>199169</v>
      </c>
      <c r="E788" s="92">
        <v>199169</v>
      </c>
      <c r="F788" s="93">
        <v>190640.78</v>
      </c>
      <c r="G788" s="97">
        <v>95.7</v>
      </c>
      <c r="H788" s="90" t="s">
        <v>13</v>
      </c>
      <c r="I788" s="24" t="s">
        <v>152</v>
      </c>
      <c r="L788" s="92">
        <v>0</v>
      </c>
    </row>
    <row r="789" spans="1:12" x14ac:dyDescent="0.25">
      <c r="A789" s="90" t="s">
        <v>94</v>
      </c>
      <c r="B789" s="90" t="s">
        <v>598</v>
      </c>
      <c r="C789" s="90" t="s">
        <v>599</v>
      </c>
      <c r="D789" s="92">
        <v>46580</v>
      </c>
      <c r="E789" s="92">
        <v>46580</v>
      </c>
      <c r="F789" s="93">
        <v>44585.18</v>
      </c>
      <c r="G789" s="97">
        <v>95.7</v>
      </c>
      <c r="H789" s="90" t="s">
        <v>13</v>
      </c>
      <c r="L789" s="92">
        <v>0</v>
      </c>
    </row>
    <row r="790" spans="1:12" x14ac:dyDescent="0.25">
      <c r="A790" s="90" t="s">
        <v>94</v>
      </c>
      <c r="B790" s="90" t="s">
        <v>600</v>
      </c>
      <c r="C790" s="90" t="s">
        <v>601</v>
      </c>
      <c r="D790" s="92">
        <v>531975</v>
      </c>
      <c r="E790" s="92">
        <v>531975</v>
      </c>
      <c r="F790" s="93">
        <v>551166.56000000006</v>
      </c>
      <c r="G790" s="97">
        <v>103.6</v>
      </c>
      <c r="H790" s="90" t="s">
        <v>158</v>
      </c>
      <c r="L790" s="92">
        <v>0</v>
      </c>
    </row>
    <row r="791" spans="1:12" x14ac:dyDescent="0.25">
      <c r="A791" s="90" t="s">
        <v>94</v>
      </c>
      <c r="B791" s="90" t="s">
        <v>606</v>
      </c>
      <c r="C791" s="90" t="s">
        <v>607</v>
      </c>
      <c r="D791" s="92">
        <v>5000</v>
      </c>
      <c r="E791" s="92">
        <v>5000</v>
      </c>
      <c r="F791" s="93">
        <v>4993.5600000000004</v>
      </c>
      <c r="G791" s="97">
        <v>99.9</v>
      </c>
      <c r="H791" s="90" t="s">
        <v>13</v>
      </c>
      <c r="L791" s="92">
        <v>0</v>
      </c>
    </row>
    <row r="792" spans="1:12" x14ac:dyDescent="0.25">
      <c r="A792" s="90" t="s">
        <v>94</v>
      </c>
      <c r="B792" s="90" t="s">
        <v>608</v>
      </c>
      <c r="C792" s="90" t="s">
        <v>609</v>
      </c>
      <c r="D792" s="92">
        <v>10600</v>
      </c>
      <c r="E792" s="92">
        <v>10840</v>
      </c>
      <c r="F792" s="93">
        <v>10838.26</v>
      </c>
      <c r="G792" s="97">
        <v>100</v>
      </c>
      <c r="H792" s="90" t="s">
        <v>13</v>
      </c>
      <c r="L792" s="92">
        <v>240</v>
      </c>
    </row>
    <row r="793" spans="1:12" x14ac:dyDescent="0.25">
      <c r="A793" s="90" t="s">
        <v>94</v>
      </c>
      <c r="B793" s="90" t="s">
        <v>634</v>
      </c>
      <c r="C793" s="90" t="s">
        <v>635</v>
      </c>
      <c r="D793" s="92">
        <v>110000</v>
      </c>
      <c r="E793" s="92">
        <v>109760</v>
      </c>
      <c r="F793" s="93">
        <v>94329.63</v>
      </c>
      <c r="G793" s="97">
        <v>85.9</v>
      </c>
      <c r="H793" s="90" t="s">
        <v>13</v>
      </c>
      <c r="L793" s="92">
        <v>-240</v>
      </c>
    </row>
    <row r="794" spans="1:12" x14ac:dyDescent="0.25">
      <c r="A794" s="90" t="s">
        <v>94</v>
      </c>
      <c r="B794" s="90" t="s">
        <v>636</v>
      </c>
      <c r="C794" s="90" t="s">
        <v>637</v>
      </c>
      <c r="D794" s="92">
        <v>300</v>
      </c>
      <c r="E794" s="92">
        <v>300</v>
      </c>
      <c r="F794" s="93">
        <v>0</v>
      </c>
      <c r="G794" s="97">
        <v>0</v>
      </c>
      <c r="H794" s="90" t="s">
        <v>13</v>
      </c>
      <c r="L794" s="92">
        <v>0</v>
      </c>
    </row>
    <row r="795" spans="1:12" x14ac:dyDescent="0.25">
      <c r="A795" s="90" t="s">
        <v>94</v>
      </c>
      <c r="B795" s="90" t="s">
        <v>610</v>
      </c>
      <c r="C795" s="90" t="s">
        <v>611</v>
      </c>
      <c r="D795" s="92">
        <v>10250</v>
      </c>
      <c r="E795" s="92">
        <v>10250</v>
      </c>
      <c r="F795" s="93">
        <v>4695.96</v>
      </c>
      <c r="G795" s="97">
        <v>45.8</v>
      </c>
      <c r="H795" s="90" t="s">
        <v>13</v>
      </c>
      <c r="L795" s="92">
        <v>0</v>
      </c>
    </row>
    <row r="796" spans="1:12" x14ac:dyDescent="0.25">
      <c r="A796" s="90" t="s">
        <v>94</v>
      </c>
      <c r="B796" s="90" t="s">
        <v>612</v>
      </c>
      <c r="C796" s="90" t="s">
        <v>613</v>
      </c>
      <c r="D796" s="92">
        <v>35000</v>
      </c>
      <c r="E796" s="92">
        <v>32500</v>
      </c>
      <c r="F796" s="93">
        <v>26458.99</v>
      </c>
      <c r="G796" s="97">
        <v>81.400000000000006</v>
      </c>
      <c r="H796" s="90" t="s">
        <v>13</v>
      </c>
      <c r="I796" s="24" t="s">
        <v>152</v>
      </c>
      <c r="L796" s="92">
        <v>-2500</v>
      </c>
    </row>
    <row r="797" spans="1:12" x14ac:dyDescent="0.25">
      <c r="A797" s="90" t="s">
        <v>94</v>
      </c>
      <c r="B797" s="90" t="s">
        <v>631</v>
      </c>
      <c r="C797" s="90" t="s">
        <v>632</v>
      </c>
      <c r="D797" s="92">
        <v>150</v>
      </c>
      <c r="E797" s="92">
        <v>150</v>
      </c>
      <c r="F797" s="93">
        <v>18.95</v>
      </c>
      <c r="G797" s="97">
        <v>12.6</v>
      </c>
      <c r="H797" s="90" t="s">
        <v>13</v>
      </c>
      <c r="L797" s="92">
        <v>0</v>
      </c>
    </row>
    <row r="798" spans="1:12" x14ac:dyDescent="0.25">
      <c r="A798" s="90" t="s">
        <v>94</v>
      </c>
      <c r="B798" s="90" t="s">
        <v>616</v>
      </c>
      <c r="C798" s="90" t="s">
        <v>617</v>
      </c>
      <c r="D798" s="92">
        <v>5000</v>
      </c>
      <c r="E798" s="92">
        <v>5000</v>
      </c>
      <c r="F798" s="93">
        <v>3519.59</v>
      </c>
      <c r="G798" s="97">
        <v>70.400000000000006</v>
      </c>
      <c r="H798" s="90" t="s">
        <v>13</v>
      </c>
      <c r="L798" s="92">
        <v>0</v>
      </c>
    </row>
    <row r="799" spans="1:12" x14ac:dyDescent="0.25">
      <c r="A799" s="90" t="s">
        <v>94</v>
      </c>
      <c r="B799" s="90" t="s">
        <v>618</v>
      </c>
      <c r="C799" s="90" t="s">
        <v>619</v>
      </c>
      <c r="D799" s="92">
        <v>2000</v>
      </c>
      <c r="E799" s="92">
        <v>4500</v>
      </c>
      <c r="F799" s="93">
        <v>1471.21</v>
      </c>
      <c r="G799" s="97">
        <v>32.700000000000003</v>
      </c>
      <c r="H799" s="90" t="s">
        <v>13</v>
      </c>
      <c r="L799" s="92">
        <v>2500</v>
      </c>
    </row>
    <row r="800" spans="1:12" x14ac:dyDescent="0.25">
      <c r="A800" s="90" t="s">
        <v>94</v>
      </c>
      <c r="B800" s="90" t="s">
        <v>622</v>
      </c>
      <c r="C800" s="90" t="s">
        <v>623</v>
      </c>
      <c r="D800" s="92">
        <v>296000</v>
      </c>
      <c r="E800" s="92">
        <v>296000</v>
      </c>
      <c r="F800" s="93">
        <v>288381.57</v>
      </c>
      <c r="G800" s="97">
        <v>97.4</v>
      </c>
      <c r="H800" s="90" t="s">
        <v>13</v>
      </c>
      <c r="L800" s="92">
        <v>0</v>
      </c>
    </row>
    <row r="801" spans="1:12" x14ac:dyDescent="0.25">
      <c r="A801" s="90" t="s">
        <v>94</v>
      </c>
      <c r="B801" s="90" t="s">
        <v>624</v>
      </c>
      <c r="C801" s="90" t="s">
        <v>625</v>
      </c>
      <c r="D801" s="92">
        <v>5000</v>
      </c>
      <c r="E801" s="92">
        <v>5000</v>
      </c>
      <c r="F801" s="93">
        <v>4041.02</v>
      </c>
      <c r="G801" s="97">
        <v>80.8</v>
      </c>
      <c r="H801" s="90" t="s">
        <v>13</v>
      </c>
      <c r="L801" s="92">
        <v>0</v>
      </c>
    </row>
    <row r="802" spans="1:12" x14ac:dyDescent="0.25">
      <c r="A802" s="90" t="s">
        <v>94</v>
      </c>
      <c r="B802" s="90" t="s">
        <v>648</v>
      </c>
      <c r="C802" s="90" t="s">
        <v>649</v>
      </c>
      <c r="D802" s="92">
        <v>4000</v>
      </c>
      <c r="E802" s="92">
        <v>4000</v>
      </c>
      <c r="F802" s="93">
        <v>3267.51</v>
      </c>
      <c r="G802" s="97">
        <v>81.7</v>
      </c>
      <c r="H802" s="90" t="s">
        <v>13</v>
      </c>
      <c r="L802" s="92">
        <v>0</v>
      </c>
    </row>
    <row r="803" spans="1:12" x14ac:dyDescent="0.25">
      <c r="C803" s="91" t="s">
        <v>815</v>
      </c>
      <c r="D803" s="98">
        <f>SUM(D786:D802)</f>
        <v>4473435</v>
      </c>
      <c r="E803" s="98">
        <f t="shared" ref="E803:F803" si="46">SUM(E786:E802)</f>
        <v>4473435</v>
      </c>
      <c r="F803" s="98">
        <f t="shared" si="46"/>
        <v>4393270.1099999994</v>
      </c>
    </row>
    <row r="804" spans="1:12" x14ac:dyDescent="0.25">
      <c r="A804" s="90" t="s">
        <v>816</v>
      </c>
      <c r="B804" s="90" t="s">
        <v>817</v>
      </c>
      <c r="C804" s="90" t="s">
        <v>818</v>
      </c>
      <c r="D804" s="92">
        <v>0</v>
      </c>
      <c r="E804" s="92">
        <v>300000</v>
      </c>
      <c r="F804" s="93">
        <v>0</v>
      </c>
      <c r="G804" s="97">
        <v>0</v>
      </c>
      <c r="H804" s="90" t="s">
        <v>13</v>
      </c>
      <c r="J804" s="24" t="s">
        <v>152</v>
      </c>
      <c r="L804" s="92">
        <v>300000</v>
      </c>
    </row>
    <row r="805" spans="1:12" x14ac:dyDescent="0.25">
      <c r="C805" s="91" t="s">
        <v>819</v>
      </c>
      <c r="D805" s="98">
        <f>SUM(D804)</f>
        <v>0</v>
      </c>
      <c r="E805" s="98">
        <f t="shared" ref="E805:F805" si="47">SUM(E804)</f>
        <v>300000</v>
      </c>
      <c r="F805" s="98">
        <f t="shared" si="47"/>
        <v>0</v>
      </c>
    </row>
    <row r="806" spans="1:12" x14ac:dyDescent="0.25">
      <c r="A806" s="90" t="s">
        <v>479</v>
      </c>
      <c r="B806" s="90" t="s">
        <v>820</v>
      </c>
      <c r="C806" s="90" t="s">
        <v>821</v>
      </c>
      <c r="D806" s="92">
        <v>0</v>
      </c>
      <c r="E806" s="92">
        <v>0</v>
      </c>
      <c r="F806" s="93">
        <v>21719.27</v>
      </c>
      <c r="G806" s="97">
        <v>100</v>
      </c>
      <c r="H806" s="90" t="s">
        <v>158</v>
      </c>
      <c r="I806" s="24" t="s">
        <v>152</v>
      </c>
      <c r="L806" s="92">
        <v>0</v>
      </c>
    </row>
    <row r="807" spans="1:12" x14ac:dyDescent="0.25">
      <c r="A807" s="90" t="s">
        <v>312</v>
      </c>
      <c r="B807" s="90" t="s">
        <v>811</v>
      </c>
      <c r="C807" s="90" t="s">
        <v>812</v>
      </c>
      <c r="D807" s="92">
        <v>0</v>
      </c>
      <c r="E807" s="92">
        <v>0</v>
      </c>
      <c r="F807" s="93">
        <v>317.98</v>
      </c>
      <c r="G807" s="97">
        <v>100</v>
      </c>
      <c r="H807" s="90" t="s">
        <v>158</v>
      </c>
      <c r="L807" s="92">
        <v>0</v>
      </c>
    </row>
    <row r="808" spans="1:12" x14ac:dyDescent="0.25">
      <c r="A808" s="90" t="s">
        <v>312</v>
      </c>
      <c r="B808" s="90" t="s">
        <v>820</v>
      </c>
      <c r="C808" s="90" t="s">
        <v>821</v>
      </c>
      <c r="D808" s="92">
        <v>0</v>
      </c>
      <c r="E808" s="92">
        <v>0</v>
      </c>
      <c r="F808" s="93">
        <v>5315.75</v>
      </c>
      <c r="G808" s="97">
        <v>100</v>
      </c>
      <c r="H808" s="90" t="s">
        <v>158</v>
      </c>
      <c r="L808" s="92">
        <v>0</v>
      </c>
    </row>
    <row r="809" spans="1:12" x14ac:dyDescent="0.25">
      <c r="C809" s="91" t="s">
        <v>822</v>
      </c>
      <c r="D809" s="98">
        <f>SUM(D806:D808)</f>
        <v>0</v>
      </c>
      <c r="E809" s="98">
        <f t="shared" ref="E809:F809" si="48">SUM(E806:E808)</f>
        <v>0</v>
      </c>
      <c r="F809" s="98">
        <f t="shared" si="48"/>
        <v>27353</v>
      </c>
      <c r="L809" s="98">
        <f>SUM(L730:L808)</f>
        <v>795298</v>
      </c>
    </row>
    <row r="810" spans="1:12" x14ac:dyDescent="0.25">
      <c r="A810" s="90" t="s">
        <v>96</v>
      </c>
      <c r="B810" s="90" t="s">
        <v>823</v>
      </c>
      <c r="C810" s="90" t="s">
        <v>824</v>
      </c>
      <c r="D810" s="92">
        <v>0</v>
      </c>
      <c r="E810" s="92">
        <v>22985036</v>
      </c>
      <c r="F810" s="93">
        <v>22837906</v>
      </c>
      <c r="G810" s="97">
        <v>99.4</v>
      </c>
      <c r="H810" s="90" t="s">
        <v>13</v>
      </c>
      <c r="L810" s="92">
        <v>22985036</v>
      </c>
    </row>
    <row r="811" spans="1:12" x14ac:dyDescent="0.25">
      <c r="A811" s="90" t="s">
        <v>96</v>
      </c>
      <c r="B811" s="90" t="s">
        <v>825</v>
      </c>
      <c r="C811" s="90" t="s">
        <v>826</v>
      </c>
      <c r="D811" s="92">
        <v>180000</v>
      </c>
      <c r="E811" s="92">
        <v>180000</v>
      </c>
      <c r="F811" s="93">
        <v>180000</v>
      </c>
      <c r="G811" s="97">
        <v>100</v>
      </c>
      <c r="H811" s="90" t="s">
        <v>13</v>
      </c>
      <c r="L811" s="92">
        <v>0</v>
      </c>
    </row>
    <row r="812" spans="1:12" x14ac:dyDescent="0.25">
      <c r="A812" s="90" t="s">
        <v>96</v>
      </c>
      <c r="B812" s="90" t="s">
        <v>827</v>
      </c>
      <c r="C812" s="90" t="s">
        <v>828</v>
      </c>
      <c r="D812" s="92">
        <v>216686</v>
      </c>
      <c r="E812" s="92">
        <v>216686</v>
      </c>
      <c r="F812" s="93">
        <v>216686</v>
      </c>
      <c r="G812" s="97">
        <v>100</v>
      </c>
      <c r="H812" s="90" t="s">
        <v>13</v>
      </c>
      <c r="L812" s="92">
        <v>0</v>
      </c>
    </row>
    <row r="813" spans="1:12" x14ac:dyDescent="0.25">
      <c r="A813" s="90" t="s">
        <v>96</v>
      </c>
      <c r="B813" s="90" t="s">
        <v>829</v>
      </c>
      <c r="C813" s="90" t="s">
        <v>830</v>
      </c>
      <c r="D813" s="92">
        <v>225106</v>
      </c>
      <c r="E813" s="92">
        <v>225106</v>
      </c>
      <c r="F813" s="93">
        <v>225106</v>
      </c>
      <c r="G813" s="97">
        <v>100</v>
      </c>
      <c r="H813" s="90" t="s">
        <v>13</v>
      </c>
      <c r="L813" s="92">
        <v>0</v>
      </c>
    </row>
    <row r="814" spans="1:12" x14ac:dyDescent="0.25">
      <c r="A814" s="90" t="s">
        <v>96</v>
      </c>
      <c r="B814" s="90" t="s">
        <v>831</v>
      </c>
      <c r="C814" s="90" t="s">
        <v>832</v>
      </c>
      <c r="D814" s="92">
        <v>2920030</v>
      </c>
      <c r="E814" s="92">
        <v>2920030</v>
      </c>
      <c r="F814" s="93">
        <v>2920030</v>
      </c>
      <c r="G814" s="97">
        <v>100</v>
      </c>
      <c r="H814" s="90" t="s">
        <v>13</v>
      </c>
      <c r="L814" s="92">
        <v>0</v>
      </c>
    </row>
    <row r="815" spans="1:12" x14ac:dyDescent="0.25">
      <c r="A815" s="90" t="s">
        <v>96</v>
      </c>
      <c r="B815" s="90" t="s">
        <v>833</v>
      </c>
      <c r="C815" s="90" t="s">
        <v>834</v>
      </c>
      <c r="D815" s="92">
        <v>1570131</v>
      </c>
      <c r="E815" s="92">
        <v>1570131</v>
      </c>
      <c r="F815" s="93">
        <v>1570131</v>
      </c>
      <c r="G815" s="97">
        <v>100</v>
      </c>
      <c r="H815" s="90" t="s">
        <v>13</v>
      </c>
      <c r="L815" s="92">
        <v>0</v>
      </c>
    </row>
    <row r="816" spans="1:12" x14ac:dyDescent="0.25">
      <c r="A816" s="90" t="s">
        <v>13</v>
      </c>
      <c r="B816" s="90" t="s">
        <v>13</v>
      </c>
      <c r="C816" s="91" t="s">
        <v>835</v>
      </c>
      <c r="D816" s="98">
        <f>SUM(D810:D815)</f>
        <v>5111953</v>
      </c>
      <c r="E816" s="98">
        <f t="shared" ref="E816:F816" si="49">SUM(E810:E815)</f>
        <v>28096989</v>
      </c>
      <c r="F816" s="98">
        <f t="shared" si="49"/>
        <v>27949859</v>
      </c>
      <c r="L816" s="98">
        <f>SUM(L810:L815)</f>
        <v>22985036</v>
      </c>
    </row>
    <row r="817" spans="1:12" x14ac:dyDescent="0.25">
      <c r="A817" s="90" t="s">
        <v>13</v>
      </c>
      <c r="B817" s="90" t="s">
        <v>13</v>
      </c>
      <c r="C817" s="90" t="s">
        <v>99</v>
      </c>
      <c r="D817" s="92">
        <v>134371157</v>
      </c>
      <c r="E817" s="92">
        <v>167515771.28</v>
      </c>
      <c r="F817" s="93">
        <v>153480699.28999999</v>
      </c>
      <c r="G817" s="97">
        <v>91.6</v>
      </c>
      <c r="H817" s="90" t="s">
        <v>13</v>
      </c>
      <c r="L817" s="92">
        <v>33144614.280000001</v>
      </c>
    </row>
    <row r="819" spans="1:12" x14ac:dyDescent="0.25">
      <c r="F819" s="93">
        <v>153153700</v>
      </c>
    </row>
    <row r="820" spans="1:12" x14ac:dyDescent="0.25">
      <c r="F820" s="93">
        <f>F817-F819</f>
        <v>326999.28999999166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F92358852AC84995507B3DFD88C8E6" ma:contentTypeVersion="12" ma:contentTypeDescription="Create a new document." ma:contentTypeScope="" ma:versionID="9868c92808ef9e6554a9096a76b86c98">
  <xsd:schema xmlns:xsd="http://www.w3.org/2001/XMLSchema" xmlns:xs="http://www.w3.org/2001/XMLSchema" xmlns:p="http://schemas.microsoft.com/office/2006/metadata/properties" xmlns:ns3="f4615a11-c899-4acb-8a60-0300a15a33aa" xmlns:ns4="b782f374-3b2a-4a40-85d1-2a48f2c48fa6" targetNamespace="http://schemas.microsoft.com/office/2006/metadata/properties" ma:root="true" ma:fieldsID="a0eaf91da3462dddb7ed38e2b3a38794" ns3:_="" ns4:_="">
    <xsd:import namespace="f4615a11-c899-4acb-8a60-0300a15a33aa"/>
    <xsd:import namespace="b782f374-3b2a-4a40-85d1-2a48f2c48f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15a11-c899-4acb-8a60-0300a15a3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82f374-3b2a-4a40-85d1-2a48f2c48fa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4615a11-c899-4acb-8a60-0300a15a33aa" xsi:nil="true"/>
  </documentManagement>
</p:properties>
</file>

<file path=customXml/itemProps1.xml><?xml version="1.0" encoding="utf-8"?>
<ds:datastoreItem xmlns:ds="http://schemas.openxmlformats.org/officeDocument/2006/customXml" ds:itemID="{2566EDA0-035C-4D99-BF7D-00F6B6497A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2C2B39-064B-4047-A313-33DB3847F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615a11-c899-4acb-8a60-0300a15a33aa"/>
    <ds:schemaRef ds:uri="b782f374-3b2a-4a40-85d1-2a48f2c48f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1D1F6C-DC6D-4866-8E42-4CF25A0DAE8D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f4615a11-c899-4acb-8a60-0300a15a33aa"/>
    <ds:schemaRef ds:uri="http://purl.org/dc/dcmitype/"/>
    <ds:schemaRef ds:uri="http://purl.org/dc/terms/"/>
    <ds:schemaRef ds:uri="http://schemas.openxmlformats.org/package/2006/metadata/core-properties"/>
    <ds:schemaRef ds:uri="b782f374-3b2a-4a40-85d1-2a48f2c48fa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Executive summary</vt:lpstr>
      <vt:lpstr>Revenues 24</vt:lpstr>
      <vt:lpstr>Expenses</vt:lpstr>
      <vt:lpstr>Expenses (3)</vt:lpstr>
      <vt:lpstr>Expenses (2)</vt:lpstr>
      <vt:lpstr>Revenues detail  24</vt:lpstr>
      <vt:lpstr>Expenses detail</vt:lpstr>
      <vt:lpstr>Sheet1</vt:lpstr>
      <vt:lpstr>'Executive summary'!Print_Area</vt:lpstr>
      <vt:lpstr>Expenses!Print_Area</vt:lpstr>
      <vt:lpstr>'Expenses (2)'!Print_Area</vt:lpstr>
      <vt:lpstr>'Expenses (3)'!Print_Area</vt:lpstr>
      <vt:lpstr>'Revenues 24'!Print_Area</vt:lpstr>
      <vt:lpstr>Expenses!Print_Titles</vt:lpstr>
      <vt:lpstr>'Expenses (2)'!Print_Titles</vt:lpstr>
      <vt:lpstr>'Expenses (3)'!Print_Titles</vt:lpstr>
      <vt:lpstr>'Revenues 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Raymond</dc:creator>
  <cp:lastModifiedBy>Campbell, Brycen</cp:lastModifiedBy>
  <cp:lastPrinted>2023-09-08T15:45:00Z</cp:lastPrinted>
  <dcterms:created xsi:type="dcterms:W3CDTF">2021-04-12T18:16:40Z</dcterms:created>
  <dcterms:modified xsi:type="dcterms:W3CDTF">2023-09-26T16:35:45Z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0x010100EAF92358852AC84995507B3DFD88C8E6</vt:lpwstr>
  </property>
  <property fmtid="{D5CDD505-2E9C-101B-9397-08002B2CF9AE}" pid="3" name="MSIP_Label_f2c50fb1-e7d1-4546-b6ef-e9f8ecf99a0d_Enabled">
    <vt:lpwstr>true</vt:lpwstr>
  </property>
  <property fmtid="{D5CDD505-2E9C-101B-9397-08002B2CF9AE}" pid="4" name="MSIP_Label_f2c50fb1-e7d1-4546-b6ef-e9f8ecf99a0d_SetDate">
    <vt:lpwstr>2022-09-09T15:58:32Z</vt:lpwstr>
  </property>
  <property fmtid="{D5CDD505-2E9C-101B-9397-08002B2CF9AE}" pid="5" name="MSIP_Label_f2c50fb1-e7d1-4546-b6ef-e9f8ecf99a0d_Method">
    <vt:lpwstr>Standard</vt:lpwstr>
  </property>
  <property fmtid="{D5CDD505-2E9C-101B-9397-08002B2CF9AE}" pid="6" name="MSIP_Label_f2c50fb1-e7d1-4546-b6ef-e9f8ecf99a0d_Name">
    <vt:lpwstr>defa4170-0d19-0005-0004-bc88714345d2</vt:lpwstr>
  </property>
  <property fmtid="{D5CDD505-2E9C-101B-9397-08002B2CF9AE}" pid="7" name="MSIP_Label_f2c50fb1-e7d1-4546-b6ef-e9f8ecf99a0d_SiteId">
    <vt:lpwstr>5f3c74de-3383-4514-9021-08b87c868727</vt:lpwstr>
  </property>
  <property fmtid="{D5CDD505-2E9C-101B-9397-08002B2CF9AE}" pid="8" name="MSIP_Label_f2c50fb1-e7d1-4546-b6ef-e9f8ecf99a0d_ActionId">
    <vt:lpwstr>8e4cd1bd-7cad-4a9a-aefe-9a6d8706efa4</vt:lpwstr>
  </property>
  <property fmtid="{D5CDD505-2E9C-101B-9397-08002B2CF9AE}" pid="9" name="MSIP_Label_f2c50fb1-e7d1-4546-b6ef-e9f8ecf99a0d_ContentBits">
    <vt:lpwstr>0</vt:lpwstr>
  </property>
</Properties>
</file>